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9995" windowHeight="12810" activeTab="7"/>
  </bookViews>
  <sheets>
    <sheet name="Př-2 MV_tab" sheetId="21" r:id="rId1"/>
    <sheet name="Př-2 quasiMV" sheetId="20" r:id="rId2"/>
    <sheet name="Př3-1 MD" sheetId="1" r:id="rId3"/>
    <sheet name="Př3-2MMR" sheetId="3" r:id="rId4"/>
    <sheet name="Př3-3 SFDI" sheetId="2" r:id="rId5"/>
    <sheet name="Pč4 TAB1" sheetId="15" r:id="rId6"/>
    <sheet name="Př4 TAB2" sheetId="16" r:id="rId7"/>
    <sheet name="Př4 TAB3" sheetId="17" r:id="rId8"/>
  </sheets>
  <externalReferences>
    <externalReference r:id="rId9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'Př-2 MV_tab'!$5:$8</definedName>
    <definedName name="_xlnm.Print_Titles" localSheetId="1">'Př-2 quasiMV'!$5:$7</definedName>
    <definedName name="NKU">'[1]301-KPR'!#REF!</definedName>
    <definedName name="_xlnm.Print_Area" localSheetId="5">'Pč4 TAB1'!$A$2:$P$44</definedName>
    <definedName name="_xlnm.Print_Area" localSheetId="0">'Př-2 MV_tab'!$A$1:$AC$100</definedName>
    <definedName name="_xlnm.Print_Area" localSheetId="2">'Př3-1 MD'!$A$1:$E$27</definedName>
    <definedName name="_xlnm.Print_Area" localSheetId="3">'Př3-2MMR'!$A$1:$E$26</definedName>
    <definedName name="_xlnm.Print_Area" localSheetId="4">'Př3-3 SFDI'!$A$1:$E$26</definedName>
    <definedName name="_xlnm.Print_Area" localSheetId="7">'Př4 TAB3'!$A$1:$P$47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14210" fullCalcOnLoad="1"/>
</workbook>
</file>

<file path=xl/calcChain.xml><?xml version="1.0" encoding="utf-8"?>
<calcChain xmlns="http://schemas.openxmlformats.org/spreadsheetml/2006/main">
  <c r="AA57" i="21"/>
  <c r="AA60"/>
  <c r="AA64"/>
  <c r="AA53"/>
  <c r="AA66"/>
  <c r="AA13"/>
  <c r="AA14"/>
  <c r="AA15"/>
  <c r="AA16"/>
  <c r="AA18"/>
  <c r="AA20"/>
  <c r="AA25"/>
  <c r="AA29"/>
  <c r="AA31"/>
  <c r="AA38"/>
  <c r="AA44"/>
  <c r="AA68"/>
  <c r="AA93"/>
  <c r="AA97"/>
  <c r="Z57"/>
  <c r="Z60"/>
  <c r="Z63"/>
  <c r="Z64"/>
  <c r="Z53"/>
  <c r="Z66"/>
  <c r="Z12"/>
  <c r="Z14"/>
  <c r="Z15"/>
  <c r="Z18"/>
  <c r="Z20"/>
  <c r="Z21"/>
  <c r="Z29"/>
  <c r="Z31"/>
  <c r="Z36"/>
  <c r="Z38"/>
  <c r="Z42"/>
  <c r="Z44"/>
  <c r="Z68"/>
  <c r="Z97"/>
  <c r="Y57"/>
  <c r="Y59"/>
  <c r="Y60"/>
  <c r="Y64"/>
  <c r="Y53"/>
  <c r="Y66"/>
  <c r="Y14"/>
  <c r="Y18"/>
  <c r="Y20"/>
  <c r="Y25"/>
  <c r="Y29"/>
  <c r="Y31"/>
  <c r="Y38"/>
  <c r="Y44"/>
  <c r="Y68"/>
  <c r="Y97"/>
  <c r="X64"/>
  <c r="X53"/>
  <c r="X66"/>
  <c r="X44"/>
  <c r="X68"/>
  <c r="X97"/>
  <c r="W57"/>
  <c r="W59"/>
  <c r="W60"/>
  <c r="W64"/>
  <c r="W53"/>
  <c r="W66"/>
  <c r="W12"/>
  <c r="W13"/>
  <c r="W14"/>
  <c r="W16"/>
  <c r="W18"/>
  <c r="W20"/>
  <c r="W24"/>
  <c r="W25"/>
  <c r="W26"/>
  <c r="W28"/>
  <c r="W29"/>
  <c r="W31"/>
  <c r="W32"/>
  <c r="W36"/>
  <c r="W38"/>
  <c r="W44"/>
  <c r="W68"/>
  <c r="W93"/>
  <c r="W97"/>
  <c r="V64"/>
  <c r="V53"/>
  <c r="V66"/>
  <c r="V44"/>
  <c r="V68"/>
  <c r="V97"/>
  <c r="U57"/>
  <c r="U59"/>
  <c r="U60"/>
  <c r="U64"/>
  <c r="U53"/>
  <c r="U66"/>
  <c r="U13"/>
  <c r="U14"/>
  <c r="U15"/>
  <c r="U16"/>
  <c r="U18"/>
  <c r="U25"/>
  <c r="U29"/>
  <c r="U44"/>
  <c r="U68"/>
  <c r="U93"/>
  <c r="U97"/>
  <c r="T64"/>
  <c r="T53"/>
  <c r="T66"/>
  <c r="T20"/>
  <c r="T44"/>
  <c r="T68"/>
  <c r="T97"/>
  <c r="S57"/>
  <c r="S60"/>
  <c r="S64"/>
  <c r="S53"/>
  <c r="S66"/>
  <c r="S12"/>
  <c r="S15"/>
  <c r="S16"/>
  <c r="S18"/>
  <c r="S21"/>
  <c r="S24"/>
  <c r="S25"/>
  <c r="S26"/>
  <c r="S29"/>
  <c r="S31"/>
  <c r="S38"/>
  <c r="S44"/>
  <c r="S68"/>
  <c r="S93"/>
  <c r="S97"/>
  <c r="R64"/>
  <c r="R53"/>
  <c r="R66"/>
  <c r="R44"/>
  <c r="R68"/>
  <c r="R97"/>
  <c r="Q57"/>
  <c r="Q59"/>
  <c r="Q60"/>
  <c r="Q63"/>
  <c r="Q64"/>
  <c r="Q53"/>
  <c r="Q66"/>
  <c r="Q12"/>
  <c r="Q13"/>
  <c r="Q14"/>
  <c r="Q16"/>
  <c r="Q18"/>
  <c r="Q20"/>
  <c r="Q24"/>
  <c r="Q25"/>
  <c r="Q28"/>
  <c r="Q29"/>
  <c r="Q31"/>
  <c r="Q36"/>
  <c r="Q38"/>
  <c r="Q42"/>
  <c r="Q44"/>
  <c r="Q68"/>
  <c r="Q97"/>
  <c r="P64"/>
  <c r="P53"/>
  <c r="P66"/>
  <c r="P44"/>
  <c r="P68"/>
  <c r="P97"/>
  <c r="O64"/>
  <c r="O53"/>
  <c r="O66"/>
  <c r="O44"/>
  <c r="O68"/>
  <c r="O97"/>
  <c r="N57"/>
  <c r="N59"/>
  <c r="N60"/>
  <c r="N63"/>
  <c r="N64"/>
  <c r="N53"/>
  <c r="N66"/>
  <c r="N12"/>
  <c r="N13"/>
  <c r="N14"/>
  <c r="N18"/>
  <c r="N23"/>
  <c r="N25"/>
  <c r="N28"/>
  <c r="N29"/>
  <c r="N36"/>
  <c r="N38"/>
  <c r="N39"/>
  <c r="N44"/>
  <c r="N68"/>
  <c r="N93"/>
  <c r="N97"/>
  <c r="M57"/>
  <c r="M59"/>
  <c r="M60"/>
  <c r="M63"/>
  <c r="M64"/>
  <c r="M51"/>
  <c r="M53"/>
  <c r="M66"/>
  <c r="M12"/>
  <c r="M13"/>
  <c r="M14"/>
  <c r="M15"/>
  <c r="M16"/>
  <c r="M18"/>
  <c r="M19"/>
  <c r="M25"/>
  <c r="M29"/>
  <c r="M31"/>
  <c r="M32"/>
  <c r="M36"/>
  <c r="M39"/>
  <c r="M40"/>
  <c r="M43"/>
  <c r="M44"/>
  <c r="M68"/>
  <c r="M93"/>
  <c r="M97"/>
  <c r="L64"/>
  <c r="L53"/>
  <c r="L66"/>
  <c r="L29"/>
  <c r="L44"/>
  <c r="L68"/>
  <c r="L93"/>
  <c r="L97"/>
  <c r="K64"/>
  <c r="K53"/>
  <c r="K66"/>
  <c r="K44"/>
  <c r="K68"/>
  <c r="K93"/>
  <c r="K97"/>
  <c r="J64"/>
  <c r="J53"/>
  <c r="J66"/>
  <c r="J44"/>
  <c r="J68"/>
  <c r="J93"/>
  <c r="J97"/>
  <c r="H59"/>
  <c r="H60"/>
  <c r="H64"/>
  <c r="H48"/>
  <c r="H53"/>
  <c r="H66"/>
  <c r="H12"/>
  <c r="H13"/>
  <c r="H15"/>
  <c r="H19"/>
  <c r="H25"/>
  <c r="H29"/>
  <c r="H30"/>
  <c r="H36"/>
  <c r="H44"/>
  <c r="H68"/>
  <c r="H93"/>
  <c r="H97"/>
  <c r="F59"/>
  <c r="F60"/>
  <c r="F64"/>
  <c r="F53"/>
  <c r="F66"/>
  <c r="F15"/>
  <c r="F30"/>
  <c r="F44"/>
  <c r="F68"/>
  <c r="F93"/>
  <c r="F97"/>
  <c r="E64"/>
  <c r="E53"/>
  <c r="E66"/>
  <c r="E44"/>
  <c r="E68"/>
  <c r="E97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H96"/>
  <c r="F96"/>
  <c r="E96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H95"/>
  <c r="F95"/>
  <c r="E95"/>
  <c r="AA11"/>
  <c r="AA94"/>
  <c r="Z11"/>
  <c r="Z94"/>
  <c r="Y11"/>
  <c r="Y94"/>
  <c r="X11"/>
  <c r="X94"/>
  <c r="W11"/>
  <c r="W94"/>
  <c r="V11"/>
  <c r="V94"/>
  <c r="U11"/>
  <c r="U94"/>
  <c r="T11"/>
  <c r="T94"/>
  <c r="S11"/>
  <c r="S94"/>
  <c r="R11"/>
  <c r="R94"/>
  <c r="Q11"/>
  <c r="Q94"/>
  <c r="P11"/>
  <c r="P94"/>
  <c r="O11"/>
  <c r="O94"/>
  <c r="N11"/>
  <c r="N94"/>
  <c r="M11"/>
  <c r="M94"/>
  <c r="L11"/>
  <c r="L94"/>
  <c r="K11"/>
  <c r="K94"/>
  <c r="J11"/>
  <c r="J94"/>
  <c r="H11"/>
  <c r="H94"/>
  <c r="F11"/>
  <c r="F94"/>
  <c r="E11"/>
  <c r="E94"/>
  <c r="AA87"/>
  <c r="AA91"/>
  <c r="Z91"/>
  <c r="Y91"/>
  <c r="X91"/>
  <c r="W87"/>
  <c r="W91"/>
  <c r="V91"/>
  <c r="U87"/>
  <c r="U91"/>
  <c r="T91"/>
  <c r="S87"/>
  <c r="S91"/>
  <c r="R91"/>
  <c r="Q91"/>
  <c r="P91"/>
  <c r="O91"/>
  <c r="N87"/>
  <c r="N91"/>
  <c r="M87"/>
  <c r="M91"/>
  <c r="L87"/>
  <c r="L91"/>
  <c r="K87"/>
  <c r="K91"/>
  <c r="J87"/>
  <c r="J91"/>
  <c r="H87"/>
  <c r="H91"/>
  <c r="F87"/>
  <c r="F91"/>
  <c r="E91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H90"/>
  <c r="F90"/>
  <c r="E90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H89"/>
  <c r="F89"/>
  <c r="E89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H88"/>
  <c r="F88"/>
  <c r="E88"/>
  <c r="AA85"/>
  <c r="Z85"/>
  <c r="Y85"/>
  <c r="X85"/>
  <c r="W85"/>
  <c r="V85"/>
  <c r="U85"/>
  <c r="T85"/>
  <c r="S85"/>
  <c r="R85"/>
  <c r="Q81"/>
  <c r="Q85"/>
  <c r="P85"/>
  <c r="O85"/>
  <c r="N85"/>
  <c r="M81"/>
  <c r="M85"/>
  <c r="L85"/>
  <c r="K85"/>
  <c r="J85"/>
  <c r="H85"/>
  <c r="F85"/>
  <c r="E85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H84"/>
  <c r="F84"/>
  <c r="E84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H83"/>
  <c r="F83"/>
  <c r="E83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H82"/>
  <c r="F82"/>
  <c r="E82"/>
  <c r="AB68"/>
  <c r="AB67"/>
  <c r="AB66"/>
  <c r="AB65"/>
  <c r="AB64"/>
  <c r="AB63"/>
  <c r="AB62"/>
  <c r="AB61"/>
  <c r="AB60"/>
  <c r="AB59"/>
  <c r="AB58"/>
  <c r="AB57"/>
  <c r="AB56"/>
  <c r="AB55"/>
  <c r="AB54"/>
  <c r="AB53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E101"/>
  <c r="F101"/>
  <c r="H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C11" i="3"/>
  <c r="C12"/>
  <c r="D12"/>
  <c r="C14"/>
  <c r="D14"/>
  <c r="E14"/>
  <c r="E14" i="2"/>
  <c r="D15" i="1"/>
</calcChain>
</file>

<file path=xl/sharedStrings.xml><?xml version="1.0" encoding="utf-8"?>
<sst xmlns="http://schemas.openxmlformats.org/spreadsheetml/2006/main" count="488" uniqueCount="294">
  <si>
    <t>v tisících Kč</t>
  </si>
  <si>
    <t>výdaje státního rozpočtu na koncesní smlouvu:</t>
  </si>
  <si>
    <t>smlouva uzavřena</t>
  </si>
  <si>
    <t xml:space="preserve">výdaje v roce </t>
  </si>
  <si>
    <t>1) na poradenské služby související s koncesní smlouvou</t>
  </si>
  <si>
    <t xml:space="preserve">2) platby třetím stranám v souladu s koncesní smlouvou </t>
  </si>
  <si>
    <t xml:space="preserve">3) na realizaci projektu - samotné koncesní smlouvy </t>
  </si>
  <si>
    <t>celkem</t>
  </si>
  <si>
    <t>Poznámky:</t>
  </si>
  <si>
    <t>a) pod pojmem "N-1" se rozumí rok předcházející roku, na který je sestavován návrh rozpočtu;</t>
  </si>
  <si>
    <t>b) pod pojmem "N" se rozumí rok, na který je  sestavován návrh rozpočtu;</t>
  </si>
  <si>
    <t>c) projektem se rozumí jak významný projekt dle koncesního zákona, tak projekty ostatní (viz vyhláška č. 217/2006 Sb., kterou se provádí konc. zákon);</t>
  </si>
  <si>
    <t>d) výdaji na poradenské služby související s koncesní smlouvou se rozumí výdaje zejména v souvislosti s pořízením poradenských služeb pro analýzu vhodnosti</t>
  </si>
  <si>
    <t xml:space="preserve">    a přípravu koncesního projektu, monitoring a další obdobné služby;</t>
  </si>
  <si>
    <t>e) platby třetím stranám z rozpočtu v souladu s koncesní smlouvou (např. platby za pořízení pozemku atd.).</t>
  </si>
  <si>
    <t>skutečnost do 31.12. roku  2011</t>
  </si>
  <si>
    <t>předpokládaná skutečnost roku 2012</t>
  </si>
  <si>
    <t>ANO</t>
  </si>
  <si>
    <t>Kapitola: 327 Ministerstvo dopravy</t>
  </si>
  <si>
    <t>Identifikace projektu: Projekt PPP D3</t>
  </si>
  <si>
    <t>NE</t>
  </si>
  <si>
    <t>Tabulka č. 1</t>
  </si>
  <si>
    <t>Tabulka č. 2</t>
  </si>
  <si>
    <t>Příloha č. 3</t>
  </si>
  <si>
    <t>Státní fond: SFDI</t>
  </si>
  <si>
    <t>Identifikace projektu: PPP D3</t>
  </si>
  <si>
    <t>výdaje státního fondu na koncesní smlouvu:</t>
  </si>
  <si>
    <t>ANO/NE</t>
  </si>
  <si>
    <t>Identifikace projektu:</t>
  </si>
  <si>
    <t>Provoz elektronických tržišť veřejné správy dle UV 343/2010</t>
  </si>
  <si>
    <t>Tabulka č. 3</t>
  </si>
  <si>
    <t xml:space="preserve">                  Výdaje, které vyplývají z koncesních smluv </t>
  </si>
  <si>
    <t>Kapitola: 317 Ministerstvo pro místní rozvoj</t>
  </si>
  <si>
    <t>2013/2012</t>
  </si>
  <si>
    <t>v mil. Kč</t>
  </si>
  <si>
    <t>1)</t>
  </si>
  <si>
    <t>Rozdíl</t>
  </si>
  <si>
    <t>Index</t>
  </si>
  <si>
    <t>2013-2012</t>
  </si>
  <si>
    <t>601s</t>
  </si>
  <si>
    <t>Náklady přípravy a zabezpečení projektu</t>
  </si>
  <si>
    <t>609s</t>
  </si>
  <si>
    <t>Náklady budov a staveb</t>
  </si>
  <si>
    <t>611s</t>
  </si>
  <si>
    <t>Náklady na stroje, zařízení a inventář</t>
  </si>
  <si>
    <t>613s</t>
  </si>
  <si>
    <t>Náklady na nehmotný majetek</t>
  </si>
  <si>
    <t>615s</t>
  </si>
  <si>
    <t>Ostatní náklady realizace projektu</t>
  </si>
  <si>
    <t>617s</t>
  </si>
  <si>
    <t>Rezerva v nákladech</t>
  </si>
  <si>
    <t>619s</t>
  </si>
  <si>
    <t>Splátky návratných finanč.výpomocí (NFV) ze stát.rozpočtu</t>
  </si>
  <si>
    <t>621s</t>
  </si>
  <si>
    <t>Splátky úvěrů se stát.zárukou určených nevládnímu sektoru</t>
  </si>
  <si>
    <t>625s</t>
  </si>
  <si>
    <t>Splátky úvěrů poskytnutých bez státní záruky</t>
  </si>
  <si>
    <t>627s</t>
  </si>
  <si>
    <t>Ostatní finanční potřeby</t>
  </si>
  <si>
    <t>64ps</t>
  </si>
  <si>
    <t>655s</t>
  </si>
  <si>
    <t>Návratné finanční výpomoci ze státního rozpočtu (NFV)</t>
  </si>
  <si>
    <t>657s</t>
  </si>
  <si>
    <t>Výdaje OSS a dotace ze státního rozpočtu (VDS)</t>
  </si>
  <si>
    <t>659s</t>
  </si>
  <si>
    <t>RF - celkem</t>
  </si>
  <si>
    <t>663s</t>
  </si>
  <si>
    <t>Zdroje kapitoly Operace státních fin.aktiv (OSFA)</t>
  </si>
  <si>
    <t>665s</t>
  </si>
  <si>
    <t>Zdroje kapitoly Státní dluh (SD)</t>
  </si>
  <si>
    <t>666s</t>
  </si>
  <si>
    <t>Předpokládané zdroje financování</t>
  </si>
  <si>
    <t>667s</t>
  </si>
  <si>
    <t>Vlastní zdroje účastníka programu (VZ)</t>
  </si>
  <si>
    <t>669s</t>
  </si>
  <si>
    <t>Úvěry poskytnuté bez státní záruky</t>
  </si>
  <si>
    <t>671s</t>
  </si>
  <si>
    <t>Dotace z územních rozpočtů</t>
  </si>
  <si>
    <t>673s</t>
  </si>
  <si>
    <t>Dotace poskytnuté ze státních fondů</t>
  </si>
  <si>
    <t>675s</t>
  </si>
  <si>
    <t>Jiné zdroje tuzemské</t>
  </si>
  <si>
    <t>679s</t>
  </si>
  <si>
    <t>Dotace poskytnuté z fondů EU</t>
  </si>
  <si>
    <t>681s</t>
  </si>
  <si>
    <t>Dotace z fondů NATO</t>
  </si>
  <si>
    <t>683s</t>
  </si>
  <si>
    <t>Jiné zdroje poskytnuté ze zahraničí</t>
  </si>
  <si>
    <t>69zs</t>
  </si>
  <si>
    <t>* z toho</t>
  </si>
  <si>
    <t>VDS - rozpočet kapitoly správce programu</t>
  </si>
  <si>
    <t>VDS - použití zdrojů strukturálních fondů EU</t>
  </si>
  <si>
    <t>VDS - použití zdrojů Fondu soudržnosti EU</t>
  </si>
  <si>
    <t>501s</t>
  </si>
  <si>
    <t>503s</t>
  </si>
  <si>
    <t>Mzdové náklady a povinné pojistné</t>
  </si>
  <si>
    <t>505s</t>
  </si>
  <si>
    <t>Náklady na materiál, vodu a energie</t>
  </si>
  <si>
    <t>507s</t>
  </si>
  <si>
    <t>Náklady na nákup služeb</t>
  </si>
  <si>
    <t>509s</t>
  </si>
  <si>
    <t>511s</t>
  </si>
  <si>
    <t>513s</t>
  </si>
  <si>
    <t>515s</t>
  </si>
  <si>
    <t>517s</t>
  </si>
  <si>
    <t>525s</t>
  </si>
  <si>
    <t>527s</t>
  </si>
  <si>
    <t>54ps</t>
  </si>
  <si>
    <t>557s</t>
  </si>
  <si>
    <t>559s</t>
  </si>
  <si>
    <t>563s</t>
  </si>
  <si>
    <t>565s</t>
  </si>
  <si>
    <t>566s</t>
  </si>
  <si>
    <t>567s</t>
  </si>
  <si>
    <t>571s</t>
  </si>
  <si>
    <t>573s</t>
  </si>
  <si>
    <t>575s</t>
  </si>
  <si>
    <t>581s</t>
  </si>
  <si>
    <t>583s</t>
  </si>
  <si>
    <t>59zs</t>
  </si>
  <si>
    <t>701s</t>
  </si>
  <si>
    <t>703s</t>
  </si>
  <si>
    <t>705s</t>
  </si>
  <si>
    <t>707s</t>
  </si>
  <si>
    <t>709s</t>
  </si>
  <si>
    <t>711s</t>
  </si>
  <si>
    <t>713s</t>
  </si>
  <si>
    <t>715s</t>
  </si>
  <si>
    <t>717s</t>
  </si>
  <si>
    <t>719s</t>
  </si>
  <si>
    <t>721s</t>
  </si>
  <si>
    <t>725s</t>
  </si>
  <si>
    <t>727s</t>
  </si>
  <si>
    <t>74ps</t>
  </si>
  <si>
    <t>755s</t>
  </si>
  <si>
    <t>757s</t>
  </si>
  <si>
    <t>759s</t>
  </si>
  <si>
    <t>763s</t>
  </si>
  <si>
    <t>765s</t>
  </si>
  <si>
    <t>766s</t>
  </si>
  <si>
    <t>767s</t>
  </si>
  <si>
    <t>769s</t>
  </si>
  <si>
    <t>771s</t>
  </si>
  <si>
    <t>773s</t>
  </si>
  <si>
    <t>775s</t>
  </si>
  <si>
    <t>779s</t>
  </si>
  <si>
    <t>781s</t>
  </si>
  <si>
    <t>783s</t>
  </si>
  <si>
    <t>79zs</t>
  </si>
  <si>
    <t>VDS - použití zdrojů Finančních mechanizmů</t>
  </si>
  <si>
    <t>579s</t>
  </si>
  <si>
    <t>Příloha  č. 4</t>
  </si>
  <si>
    <t>Bilance investičních potřeb a zdrojů financování akcí vedených v EDS/SMVS</t>
  </si>
  <si>
    <t>Kód řádku</t>
  </si>
  <si>
    <t xml:space="preserve">      Rok</t>
  </si>
  <si>
    <t>Název řádku</t>
  </si>
  <si>
    <t>2012</t>
  </si>
  <si>
    <t>2013</t>
  </si>
  <si>
    <t>SOUHRN FINANČNÍCH POTŘEB AKCE</t>
  </si>
  <si>
    <t>6NNV</t>
  </si>
  <si>
    <t>Výdaje všech NNV</t>
  </si>
  <si>
    <t>SOUHRN FINANČNÍCH ZDROJŮ AKCE</t>
  </si>
  <si>
    <t>6570</t>
  </si>
  <si>
    <t>6573</t>
  </si>
  <si>
    <t>6574</t>
  </si>
  <si>
    <t>6576</t>
  </si>
  <si>
    <t>1) údaje vycházejí z rozpočtu po změnách k 13.11.2012</t>
  </si>
  <si>
    <t>Bilance neinvestičních potřeb a zdrojů financování akcí vedených v EDS/SMVS</t>
  </si>
  <si>
    <t>5NNV</t>
  </si>
  <si>
    <t>5570</t>
  </si>
  <si>
    <t>5573</t>
  </si>
  <si>
    <t>5574</t>
  </si>
  <si>
    <t>5576</t>
  </si>
  <si>
    <t>Souhrnná bilance potřeb a zdrojů financování akcí vedených v EDS/SMVS</t>
  </si>
  <si>
    <t xml:space="preserve">       Rok</t>
  </si>
  <si>
    <t>7NNV</t>
  </si>
  <si>
    <t>7570</t>
  </si>
  <si>
    <t>7573</t>
  </si>
  <si>
    <t>7574</t>
  </si>
  <si>
    <t>7576</t>
  </si>
  <si>
    <t>VÝVOJ QUASI MANDATORNÍCH VÝDAJŮ</t>
  </si>
  <si>
    <t>č. ř.</t>
  </si>
  <si>
    <t>index</t>
  </si>
  <si>
    <t>TITUL MANDATORNÍCH VÝDAJŮ</t>
  </si>
  <si>
    <t>skuteč.</t>
  </si>
  <si>
    <t xml:space="preserve"> skuteč.</t>
  </si>
  <si>
    <t>rozpočet</t>
  </si>
  <si>
    <t xml:space="preserve">skuteč. </t>
  </si>
  <si>
    <t xml:space="preserve"> 14/13</t>
  </si>
  <si>
    <t xml:space="preserve">OSTATNÍ  QUASI MANDATORNÍ VÝDAJE </t>
  </si>
  <si>
    <t>Aktivní politika zaměstnanosti (bez kap. výdajů, bez prostředků EU)</t>
  </si>
  <si>
    <t xml:space="preserve">Kap. Min. obrany - bez soc. dávek </t>
  </si>
  <si>
    <t>2)</t>
  </si>
  <si>
    <t>Mzdy OSS a  příspěvk. organizací vč. poj. a FKSP</t>
  </si>
  <si>
    <t xml:space="preserve"> (bez mezd zahrnutých v kapitole MO v rámci 
 vojenských výdajů a bez kap. VPS), vč. EU </t>
  </si>
  <si>
    <t>Platy duchovních a administrativy vč. pojistného (od r. 2008 bez administrativy)</t>
  </si>
  <si>
    <t>3)</t>
  </si>
  <si>
    <t>Investiční pobídky - na daňovou povinnost</t>
  </si>
  <si>
    <t xml:space="preserve"> CELKEM </t>
  </si>
  <si>
    <t>poznámky:</t>
  </si>
  <si>
    <t>1) v roce 2001 a 2002 vč. mezd a poj. a FKSP v kapitole Okresní úřady, které nebyly v min.letech součástí výdajů  SR, v roce 2003 bez zrušené kapitoly Okresní úřady</t>
  </si>
  <si>
    <t xml:space="preserve">    v roce 2007 vliv převodu příspěvkových organizací na veřejné výzkumné instituce</t>
  </si>
  <si>
    <t xml:space="preserve">    rok 2007 - další prostředky na platy zahrnuty v  kap. Všeobecná pokladní správa </t>
  </si>
  <si>
    <t xml:space="preserve">     rok 2009 - vyloučeno z regulace zaměstnanosti: RegŠ územních celků Operační program Vzdělávání pro konkurenceschopnost podle bodu VI/4 UV č. 1194/2008 a podle bodu III UV č. 1251/2008  </t>
  </si>
  <si>
    <t xml:space="preserve">     rok 2012 - v pojistném zahrnuto i pojistné z náhrad ústavních činitelů</t>
  </si>
  <si>
    <t>2) výdaje pro Viségradský fond od r. 2004 v pol. Transfery do zahraničí; v r. 2012 vč. prostředků EU 3 mil. Kč</t>
  </si>
  <si>
    <t>3) od r. 2008 bez platů a pojistného na administrativu; od roku 2013 příspěvek na podporu činnosti dotčených církví a náboženských společností</t>
  </si>
  <si>
    <t>Podílové ukazatele</t>
  </si>
  <si>
    <t>HDP v běžných cenách (v mld. Kč)   *)</t>
  </si>
  <si>
    <t>Podíl quasi mand. výdajů   na HDP</t>
  </si>
  <si>
    <t>Výdaje státního rozpočtu (v mil. Kč)</t>
  </si>
  <si>
    <t>Podíl quasi mand. výdajů   na výdajích SR</t>
  </si>
  <si>
    <t>Příjmy státního rozpočtu (v mil. Kč)</t>
  </si>
  <si>
    <t>Podíl quasi mand. výdajů   na příjmech SR</t>
  </si>
  <si>
    <r>
      <t xml:space="preserve">Zahr. pomoc, humanitární pomoc (od r. 2009 v přísl. kapitolách), Viségradský fond </t>
    </r>
    <r>
      <rPr>
        <sz val="8"/>
        <rFont val="Times New Roman CE"/>
        <family val="1"/>
        <charset val="238"/>
      </rPr>
      <t>(do r. 2003)</t>
    </r>
  </si>
  <si>
    <t xml:space="preserve"> </t>
  </si>
  <si>
    <t xml:space="preserve">*) HDP podle makroekonomické predikce z října 2012 </t>
  </si>
  <si>
    <t>Příloha č. 2</t>
  </si>
  <si>
    <t>VÝVOJ MANDATORNÍCH VÝDAJŮ</t>
  </si>
  <si>
    <t>A. MANDATORNÍ VÝDAJE VYPLÝVAJÍCÍ ZE ZÁKONA</t>
  </si>
  <si>
    <t>Sociální transfery vč. ochrany zaměstnanců a mandatorních sociálních dotací (ř. 2 až 8B)</t>
  </si>
  <si>
    <t>Dávky nemocenského pojištění</t>
  </si>
  <si>
    <t xml:space="preserve">Ostatní sociální dávky </t>
  </si>
  <si>
    <t>Podpory v nezaměstnanosti</t>
  </si>
  <si>
    <t>Ochrana zaměstnanců při platební neschopnosti zaměstnavatelů</t>
  </si>
  <si>
    <t>7A</t>
  </si>
  <si>
    <t>Dávky sociální péče prostřednictvím OkÚ a obcí</t>
  </si>
  <si>
    <t>8A</t>
  </si>
  <si>
    <t>Transfery na dávky pomoci v hmotné nouzi a na dávky zdravotně postiženým  7)</t>
  </si>
  <si>
    <t>8B</t>
  </si>
  <si>
    <t>Transfery na příspěvek na péči podle zákona o sociálních službách  7)</t>
  </si>
  <si>
    <t>Státní příspěvek k penzijnímu pojištění</t>
  </si>
  <si>
    <t>Platba státu do zdravotního pojištění - VPS</t>
  </si>
  <si>
    <t>Výdaje na dluhovou službu</t>
  </si>
  <si>
    <t xml:space="preserve">Poplatky dluhové služby vč. úmoru st. dluhu od r. 2008 </t>
  </si>
  <si>
    <t>Majetková újma peněžních ústavů</t>
  </si>
  <si>
    <t xml:space="preserve">Příspěvek státu na podporu stavebního spoření </t>
  </si>
  <si>
    <t xml:space="preserve">Výdaje na volby a příspěvek politickým stranám </t>
  </si>
  <si>
    <t>Pozemkové úpravy</t>
  </si>
  <si>
    <t xml:space="preserve">Podpora exportu -MF, EGAP, ČEB </t>
  </si>
  <si>
    <t>Výběrová dětská rekreace - dětské domovy a ÚSP</t>
  </si>
  <si>
    <t>Úřad pro dohled nad družstevními záložnami</t>
  </si>
  <si>
    <t xml:space="preserve">Odchod. a náhr. za ztrátu na platu pro pracovníky HZS </t>
  </si>
  <si>
    <t>Soudní a mimosoud. rehab.a odškod. obětem trestní čin. a ost. náhrady</t>
  </si>
  <si>
    <t>Majetková újma pojišťoven z provozování zákonného pojištění odpovědnosti zaměstnavatele za škodu při pracovním úrazu a nemoci z povolání</t>
  </si>
  <si>
    <t>Minimální povinný příděl do FKSP státním podnikům</t>
  </si>
  <si>
    <t xml:space="preserve">Úhrada ztráty z univerzální služby podle z.č. 127/2005 Sb. </t>
  </si>
  <si>
    <t>Bezpečnost a ochrana zdraví  při práci</t>
  </si>
  <si>
    <t>CELKEM MANDATORNÍ VÝDAJE VYPLÝVAJÍCÍ ZE ZÁKONA</t>
  </si>
  <si>
    <t xml:space="preserve">B. OSTATNÍ  MANDATORNÍ VÝDAJE </t>
  </si>
  <si>
    <t>I. VÝDAJE VYPLÝVAJÍCÍ Z JINÝCH PRÁVNÍCH NOREM</t>
  </si>
  <si>
    <t xml:space="preserve">Státní podpora hypotéčního úvěrování </t>
  </si>
  <si>
    <t>Novomanželské půjčky</t>
  </si>
  <si>
    <t>Vyplacení jednorázové náhrady ke zmírnění 
 některých křivd způsobených komunistickým režimem</t>
  </si>
  <si>
    <t>Souhrnné pojištění vozidel</t>
  </si>
  <si>
    <t>C E L K E M</t>
  </si>
  <si>
    <t>II. VÝDAJE VYPLÝVAJÍCÍ ZE SMLUVNÍCH ZÁVAZKŮ</t>
  </si>
  <si>
    <t>Úhrada realizovaných kurzových ztrát při splátkách
jistiny zahraničního státního dluhu</t>
  </si>
  <si>
    <t>Státní záruky (bez programu 398080) a negarantované úvěry s.o. Správa železniční dopravní cesty podle z.č. 77/2002 Sb.</t>
  </si>
  <si>
    <t>Platba úroků za úvěry se zárukou, poskytnuté nemocnicím</t>
  </si>
  <si>
    <t>Vládní úvěry vč. plynárenských VIA a poplatků za ved.účtů</t>
  </si>
  <si>
    <t>6)</t>
  </si>
  <si>
    <t>Vypořádání závazků ČR vůči CME a Housing&amp;Construction</t>
  </si>
  <si>
    <t>Odvody a příspěvky  do rozpočtu EU</t>
  </si>
  <si>
    <t>CELKEM OSTATNÍ MANDATORNÍ VÝDAJE (B/I A B/II)</t>
  </si>
  <si>
    <t>MANDATORNÍ VÝDAJE CELKEM (A+B)</t>
  </si>
  <si>
    <t>1)  ve skut. 2004 vliv výplaty jednorázových dávek</t>
  </si>
  <si>
    <t>2) v roce 2000 uhrazeno z rezervy na sociální problémy</t>
  </si>
  <si>
    <t>3) v roce 2001 vč. prostředků na úhradu záporného salda pojistného na důchodové pojištění (výdaj kapitoly OSFA ve výši 4 384 mil. Kč)</t>
  </si>
  <si>
    <t xml:space="preserve">4) nárokové dotace zaměstnavatelům na základě právních předpisů určené na výplatu sociálních příspěvků zaměstnancům a na podporu zaměstnávání osob se sníženou pracovní schopností (v minulých letech byly prostředky </t>
  </si>
  <si>
    <t xml:space="preserve">     zahrnuty částečně v jiných výdajích)</t>
  </si>
  <si>
    <t>5) v letech 2000-2004 zahrnuje dotace SZIF na regulaci trhu a správní výdaje, v r. 2000 zahrnuje i dotaci SFDI ve výši 3139 mil. Kč a v r. 2001 i dotaci SF ČR pro podporu a rozvoj české kinematografie ve výši 10 mil. Kč</t>
  </si>
  <si>
    <t>6) vč. prostředků převedených od r. 2008 do kap. MZV a  bez prostředků převedených do kap. Státní dluh</t>
  </si>
  <si>
    <t>7) od roku 2012 se nejedná o transfer, ale o výdaj realizovaný přes Úřad práce ČR</t>
  </si>
  <si>
    <t>Podíl sociálních transferů celkem vč.ochr.zam. (ř. 1.) na HDP</t>
  </si>
  <si>
    <t>Podíl celkových mand. výdajů ze zákona (A) na HDP</t>
  </si>
  <si>
    <t>Podíl ostatních mand. výdajů (B) na HDP</t>
  </si>
  <si>
    <t>Podíl celkových mand. výdajů  (A+B) na HDP</t>
  </si>
  <si>
    <t>Podíl sociálních transferů celkem vč.ochr.zam. (ř. 1.) na výdajích SR</t>
  </si>
  <si>
    <t>Podíl celkových mand. výdajů ze zákona (A) na výdajích SR</t>
  </si>
  <si>
    <t>Podíl ostatních mand. výdajů (B) na výdajích SR</t>
  </si>
  <si>
    <t>Podíl celkových mand. výdajů  (A+B) na výdajích SR</t>
  </si>
  <si>
    <t>Podíl sociálních transferů celkem vč.ochr.zam. (ř. 1.) na příjmech SR</t>
  </si>
  <si>
    <t>Podíl celkových mand. výdajů ze zákona (A) na příjmech SR</t>
  </si>
  <si>
    <t>Podíl ostatních mand. výdajů (B) na příjmech SR</t>
  </si>
  <si>
    <t>Podíl celkových mand. výdajů  (A+B) na příjmech SR</t>
  </si>
  <si>
    <r>
      <t xml:space="preserve">Dávky důchodového pojištění (vč.ozbrojených složek)  </t>
    </r>
    <r>
      <rPr>
        <vertAlign val="superscript"/>
        <sz val="10"/>
        <rFont val="Times New Roman CE"/>
        <family val="1"/>
        <charset val="238"/>
      </rPr>
      <t>3)</t>
    </r>
  </si>
  <si>
    <r>
      <t xml:space="preserve">Dávky státní sociální podpory </t>
    </r>
    <r>
      <rPr>
        <vertAlign val="superscript"/>
        <sz val="10"/>
        <rFont val="Times New Roman CE"/>
        <family val="1"/>
        <charset val="238"/>
      </rPr>
      <t>1)</t>
    </r>
  </si>
  <si>
    <r>
      <t xml:space="preserve">Mandatorní sociální dotace zaměstnavatelům  </t>
    </r>
    <r>
      <rPr>
        <vertAlign val="superscript"/>
        <sz val="10"/>
        <rFont val="Times New Roman CE"/>
        <family val="1"/>
        <charset val="238"/>
      </rPr>
      <t>4)</t>
    </r>
  </si>
  <si>
    <r>
      <t xml:space="preserve">Dotace státním fondům -  (od r. 2005   pouze správní 
výdaje SZIF) </t>
    </r>
    <r>
      <rPr>
        <vertAlign val="superscript"/>
        <sz val="10"/>
        <rFont val="Times New Roman CE"/>
        <family val="1"/>
        <charset val="238"/>
      </rPr>
      <t>5)</t>
    </r>
  </si>
  <si>
    <r>
      <t xml:space="preserve">Jednorázová peněžní náhrada příslušníkům zahr.armád </t>
    </r>
    <r>
      <rPr>
        <vertAlign val="superscript"/>
        <sz val="10"/>
        <rFont val="Times New Roman CE"/>
        <family val="1"/>
        <charset val="238"/>
      </rPr>
      <t>2)</t>
    </r>
  </si>
  <si>
    <r>
      <t xml:space="preserve">Zdravotní péče azylantům a cizincům  </t>
    </r>
    <r>
      <rPr>
        <sz val="9"/>
        <rFont val="Times New Roman CE"/>
        <family val="1"/>
        <charset val="238"/>
      </rPr>
      <t>(od r. 2008 v rozpočtu  kap. Min. vnitra)</t>
    </r>
  </si>
  <si>
    <r>
      <t xml:space="preserve">Transfery mezinárodním  organizacím, platby MMF, SB, Česko německý fond budoucnosti </t>
    </r>
    <r>
      <rPr>
        <sz val="9"/>
        <rFont val="Times New Roman CE"/>
        <family val="1"/>
        <charset val="238"/>
      </rPr>
      <t>(v r. 2007  a 2008 v kap. MZV)</t>
    </r>
  </si>
  <si>
    <t>Jednorázová částka účastníkům národního boje a dalším osobám podle z.č. 261/2001 Sb. a odškodnění podle z.č. 172/2002 Sb. a další odškodnění osob (v r. 2008 a 2009 pouze dopad z.č. 357/2005 Sb.; v roce 2010 z.č. 357/2005, z.č. 212/2009 Sb. a NV č. 135/2009 Sb.)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</si>
</sst>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"/>
    <numFmt numFmtId="165" formatCode="0.0"/>
  </numFmts>
  <fonts count="51">
    <font>
      <sz val="10"/>
      <name val="Times New Roman CE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8"/>
      <color indexed="8"/>
      <name val="Times New Roman"/>
      <family val="1"/>
      <charset val="238"/>
    </font>
    <font>
      <sz val="10"/>
      <name val="Times New Roman CE"/>
      <charset val="238"/>
    </font>
    <font>
      <sz val="10"/>
      <color indexed="8"/>
      <name val="ARIAL"/>
      <charset val="1"/>
    </font>
    <font>
      <sz val="8"/>
      <name val="ARIAL"/>
      <charset val="1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charset val="1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sz val="8"/>
      <color indexed="8"/>
      <name val="ARIAL"/>
      <charset val="1"/>
    </font>
    <font>
      <b/>
      <sz val="8"/>
      <color indexed="8"/>
      <name val="ARIAL"/>
      <charset val="1"/>
    </font>
    <font>
      <sz val="7"/>
      <color indexed="8"/>
      <name val="Arial"/>
      <charset val="1"/>
    </font>
    <font>
      <b/>
      <sz val="10"/>
      <color indexed="8"/>
      <name val="Arial"/>
      <charset val="1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0"/>
      <color indexed="12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color indexed="12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0"/>
      <color indexed="56"/>
      <name val="Times New Roman CE"/>
      <family val="1"/>
      <charset val="238"/>
    </font>
    <font>
      <b/>
      <sz val="10"/>
      <color indexed="12"/>
      <name val="Times New Roman CE"/>
      <family val="1"/>
      <charset val="238"/>
    </font>
    <font>
      <sz val="8"/>
      <color indexed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i/>
      <sz val="10"/>
      <color indexed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0"/>
      <color indexed="12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6">
    <xf numFmtId="0" fontId="0" fillId="0" borderId="0"/>
    <xf numFmtId="44" fontId="11" fillId="0" borderId="0" applyFont="0" applyFill="0" applyBorder="0" applyAlignment="0" applyProtection="0"/>
    <xf numFmtId="0" fontId="9" fillId="0" borderId="0"/>
    <xf numFmtId="0" fontId="9" fillId="0" borderId="0"/>
    <xf numFmtId="0" fontId="31" fillId="0" borderId="0"/>
    <xf numFmtId="0" fontId="12" fillId="0" borderId="0">
      <alignment vertical="top"/>
    </xf>
  </cellStyleXfs>
  <cellXfs count="63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3" fontId="6" fillId="0" borderId="8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 shrinkToFit="1"/>
    </xf>
    <xf numFmtId="3" fontId="6" fillId="0" borderId="18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/>
    <xf numFmtId="0" fontId="3" fillId="0" borderId="0" xfId="0" applyFont="1" applyFill="1" applyAlignment="1">
      <alignment vertical="center"/>
    </xf>
    <xf numFmtId="0" fontId="5" fillId="0" borderId="2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4" fillId="0" borderId="0" xfId="5" applyFont="1" applyAlignment="1">
      <alignment vertical="center"/>
    </xf>
    <xf numFmtId="0" fontId="14" fillId="0" borderId="0" xfId="5" applyFont="1" applyBorder="1" applyAlignment="1">
      <alignment vertical="center"/>
    </xf>
    <xf numFmtId="0" fontId="16" fillId="0" borderId="0" xfId="5" applyFont="1" applyBorder="1" applyAlignment="1">
      <alignment horizontal="center" vertical="center" wrapText="1"/>
    </xf>
    <xf numFmtId="0" fontId="14" fillId="0" borderId="0" xfId="5" applyFont="1" applyBorder="1" applyAlignment="1">
      <alignment horizontal="right" vertical="center"/>
    </xf>
    <xf numFmtId="0" fontId="18" fillId="0" borderId="21" xfId="5" applyFont="1" applyBorder="1" applyAlignment="1">
      <alignment vertical="center"/>
    </xf>
    <xf numFmtId="0" fontId="18" fillId="0" borderId="22" xfId="5" applyFont="1" applyBorder="1" applyAlignment="1">
      <alignment vertical="center"/>
    </xf>
    <xf numFmtId="0" fontId="18" fillId="0" borderId="23" xfId="5" applyFont="1" applyBorder="1" applyAlignment="1">
      <alignment vertical="center"/>
    </xf>
    <xf numFmtId="0" fontId="18" fillId="0" borderId="24" xfId="5" applyFont="1" applyBorder="1" applyAlignment="1">
      <alignment vertical="center"/>
    </xf>
    <xf numFmtId="0" fontId="18" fillId="0" borderId="25" xfId="5" applyFont="1" applyBorder="1" applyAlignment="1">
      <alignment vertical="center"/>
    </xf>
    <xf numFmtId="0" fontId="18" fillId="0" borderId="26" xfId="5" applyFont="1" applyBorder="1" applyAlignment="1">
      <alignment horizontal="right" vertical="center" wrapText="1"/>
    </xf>
    <xf numFmtId="0" fontId="18" fillId="0" borderId="26" xfId="5" applyFont="1" applyBorder="1" applyAlignment="1">
      <alignment vertical="center"/>
    </xf>
    <xf numFmtId="0" fontId="19" fillId="0" borderId="26" xfId="5" applyFont="1" applyBorder="1" applyAlignment="1">
      <alignment horizontal="left" vertical="center" wrapText="1"/>
    </xf>
    <xf numFmtId="0" fontId="10" fillId="0" borderId="27" xfId="5" applyFont="1" applyBorder="1" applyAlignment="1">
      <alignment horizontal="center" vertical="center" wrapText="1"/>
    </xf>
    <xf numFmtId="0" fontId="10" fillId="0" borderId="28" xfId="5" applyFont="1" applyBorder="1" applyAlignment="1">
      <alignment horizontal="center" vertical="center" wrapText="1"/>
    </xf>
    <xf numFmtId="0" fontId="20" fillId="0" borderId="29" xfId="5" applyFont="1" applyBorder="1" applyAlignment="1">
      <alignment horizontal="center" vertical="center" wrapText="1"/>
    </xf>
    <xf numFmtId="0" fontId="20" fillId="0" borderId="28" xfId="5" applyFont="1" applyBorder="1" applyAlignment="1">
      <alignment horizontal="center" vertical="center" wrapText="1"/>
    </xf>
    <xf numFmtId="0" fontId="14" fillId="0" borderId="28" xfId="5" applyFont="1" applyBorder="1" applyAlignment="1">
      <alignment horizontal="center" vertical="center"/>
    </xf>
    <xf numFmtId="164" fontId="14" fillId="0" borderId="30" xfId="5" applyNumberFormat="1" applyFont="1" applyBorder="1" applyAlignment="1">
      <alignment vertical="center"/>
    </xf>
    <xf numFmtId="164" fontId="14" fillId="0" borderId="0" xfId="5" applyNumberFormat="1" applyFont="1" applyBorder="1" applyAlignment="1">
      <alignment vertical="center"/>
    </xf>
    <xf numFmtId="164" fontId="14" fillId="0" borderId="20" xfId="5" applyNumberFormat="1" applyFont="1" applyBorder="1" applyAlignment="1">
      <alignment vertical="center"/>
    </xf>
    <xf numFmtId="164" fontId="14" fillId="0" borderId="31" xfId="5" applyNumberFormat="1" applyFont="1" applyBorder="1" applyAlignment="1">
      <alignment vertical="center"/>
    </xf>
    <xf numFmtId="0" fontId="10" fillId="0" borderId="32" xfId="5" applyFont="1" applyBorder="1" applyAlignment="1">
      <alignment horizontal="center" vertical="center" wrapText="1"/>
    </xf>
    <xf numFmtId="0" fontId="14" fillId="0" borderId="0" xfId="5" applyFont="1">
      <alignment vertical="top"/>
    </xf>
    <xf numFmtId="0" fontId="14" fillId="0" borderId="0" xfId="5" applyFont="1" applyBorder="1">
      <alignment vertical="top"/>
    </xf>
    <xf numFmtId="0" fontId="16" fillId="0" borderId="0" xfId="5" applyFont="1" applyAlignment="1">
      <alignment horizontal="center" vertical="top" wrapText="1" readingOrder="1"/>
    </xf>
    <xf numFmtId="0" fontId="14" fillId="0" borderId="0" xfId="5" applyFont="1" applyBorder="1" applyAlignment="1">
      <alignment horizontal="right" vertical="top"/>
    </xf>
    <xf numFmtId="0" fontId="18" fillId="0" borderId="27" xfId="5" applyFont="1" applyBorder="1">
      <alignment vertical="top"/>
    </xf>
    <xf numFmtId="0" fontId="18" fillId="0" borderId="21" xfId="5" applyFont="1" applyBorder="1">
      <alignment vertical="top"/>
    </xf>
    <xf numFmtId="0" fontId="18" fillId="0" borderId="22" xfId="5" applyFont="1" applyBorder="1">
      <alignment vertical="top"/>
    </xf>
    <xf numFmtId="0" fontId="18" fillId="0" borderId="23" xfId="5" applyFont="1" applyBorder="1">
      <alignment vertical="top"/>
    </xf>
    <xf numFmtId="0" fontId="17" fillId="0" borderId="32" xfId="5" applyFont="1" applyBorder="1" applyAlignment="1">
      <alignment horizontal="center" vertical="top" wrapText="1" readingOrder="1"/>
    </xf>
    <xf numFmtId="0" fontId="18" fillId="0" borderId="24" xfId="5" applyFont="1" applyBorder="1" applyAlignment="1">
      <alignment horizontal="right" vertical="top" wrapText="1"/>
    </xf>
    <xf numFmtId="0" fontId="18" fillId="0" borderId="26" xfId="5" applyFont="1" applyBorder="1">
      <alignment vertical="top"/>
    </xf>
    <xf numFmtId="0" fontId="19" fillId="0" borderId="25" xfId="5" applyFont="1" applyBorder="1" applyAlignment="1">
      <alignment horizontal="left" vertical="top" wrapText="1" readingOrder="1"/>
    </xf>
    <xf numFmtId="0" fontId="10" fillId="0" borderId="27" xfId="5" applyFont="1" applyBorder="1" applyAlignment="1">
      <alignment horizontal="center" vertical="top" wrapText="1"/>
    </xf>
    <xf numFmtId="0" fontId="10" fillId="0" borderId="28" xfId="5" applyFont="1" applyBorder="1" applyAlignment="1">
      <alignment horizontal="center" vertical="top" wrapText="1"/>
    </xf>
    <xf numFmtId="0" fontId="20" fillId="0" borderId="29" xfId="5" applyFont="1" applyBorder="1" applyAlignment="1">
      <alignment horizontal="center" vertical="top" wrapText="1"/>
    </xf>
    <xf numFmtId="0" fontId="20" fillId="0" borderId="28" xfId="5" applyFont="1" applyBorder="1" applyAlignment="1">
      <alignment horizontal="center" vertical="top" wrapText="1"/>
    </xf>
    <xf numFmtId="0" fontId="14" fillId="0" borderId="29" xfId="5" applyFont="1" applyBorder="1" applyAlignment="1">
      <alignment horizontal="center" vertical="top"/>
    </xf>
    <xf numFmtId="164" fontId="14" fillId="0" borderId="24" xfId="5" applyNumberFormat="1" applyFont="1" applyBorder="1" applyAlignment="1">
      <alignment vertical="top"/>
    </xf>
    <xf numFmtId="164" fontId="14" fillId="0" borderId="26" xfId="5" applyNumberFormat="1" applyFont="1" applyBorder="1" applyAlignment="1">
      <alignment vertical="top"/>
    </xf>
    <xf numFmtId="164" fontId="14" fillId="0" borderId="25" xfId="5" applyNumberFormat="1" applyFont="1" applyBorder="1" applyAlignment="1">
      <alignment vertical="top"/>
    </xf>
    <xf numFmtId="0" fontId="10" fillId="0" borderId="32" xfId="5" applyFont="1" applyBorder="1" applyAlignment="1">
      <alignment horizontal="center" vertical="top" wrapText="1"/>
    </xf>
    <xf numFmtId="0" fontId="12" fillId="0" borderId="0" xfId="5" applyAlignment="1">
      <alignment vertical="center"/>
    </xf>
    <xf numFmtId="0" fontId="12" fillId="0" borderId="0" xfId="5" applyBorder="1" applyAlignment="1">
      <alignment vertical="center"/>
    </xf>
    <xf numFmtId="0" fontId="23" fillId="0" borderId="0" xfId="5" applyFont="1" applyAlignment="1">
      <alignment horizontal="center" vertical="center" wrapText="1"/>
    </xf>
    <xf numFmtId="0" fontId="12" fillId="0" borderId="31" xfId="5" applyBorder="1" applyAlignment="1">
      <alignment vertical="center"/>
    </xf>
    <xf numFmtId="0" fontId="25" fillId="0" borderId="21" xfId="5" applyFont="1" applyBorder="1" applyAlignment="1">
      <alignment vertical="center"/>
    </xf>
    <xf numFmtId="0" fontId="25" fillId="0" borderId="22" xfId="5" applyFont="1" applyBorder="1" applyAlignment="1">
      <alignment vertical="center"/>
    </xf>
    <xf numFmtId="0" fontId="25" fillId="0" borderId="23" xfId="5" applyFont="1" applyBorder="1" applyAlignment="1">
      <alignment vertical="center"/>
    </xf>
    <xf numFmtId="0" fontId="25" fillId="0" borderId="24" xfId="5" applyFont="1" applyBorder="1" applyAlignment="1">
      <alignment vertical="center"/>
    </xf>
    <xf numFmtId="0" fontId="25" fillId="0" borderId="26" xfId="5" applyFont="1" applyBorder="1" applyAlignment="1">
      <alignment vertical="center"/>
    </xf>
    <xf numFmtId="0" fontId="25" fillId="0" borderId="25" xfId="5" applyFont="1" applyBorder="1" applyAlignment="1">
      <alignment vertical="center"/>
    </xf>
    <xf numFmtId="0" fontId="25" fillId="0" borderId="24" xfId="5" applyFont="1" applyBorder="1" applyAlignment="1">
      <alignment horizontal="right" vertical="center" wrapText="1"/>
    </xf>
    <xf numFmtId="0" fontId="26" fillId="0" borderId="25" xfId="5" applyFont="1" applyBorder="1" applyAlignment="1">
      <alignment horizontal="left" vertical="center" wrapText="1"/>
    </xf>
    <xf numFmtId="0" fontId="27" fillId="0" borderId="27" xfId="5" applyFont="1" applyBorder="1" applyAlignment="1">
      <alignment horizontal="center" vertical="center" wrapText="1"/>
    </xf>
    <xf numFmtId="0" fontId="27" fillId="0" borderId="28" xfId="5" applyFont="1" applyBorder="1" applyAlignment="1">
      <alignment horizontal="center" vertical="center" wrapText="1"/>
    </xf>
    <xf numFmtId="0" fontId="28" fillId="0" borderId="29" xfId="5" applyFont="1" applyBorder="1" applyAlignment="1">
      <alignment horizontal="center" vertical="center" wrapText="1"/>
    </xf>
    <xf numFmtId="0" fontId="27" fillId="0" borderId="29" xfId="5" applyFont="1" applyBorder="1" applyAlignment="1">
      <alignment horizontal="center" vertical="center" wrapText="1"/>
    </xf>
    <xf numFmtId="0" fontId="28" fillId="0" borderId="28" xfId="5" applyFont="1" applyBorder="1" applyAlignment="1">
      <alignment horizontal="center" vertical="center" wrapText="1"/>
    </xf>
    <xf numFmtId="0" fontId="28" fillId="0" borderId="27" xfId="5" applyFont="1" applyBorder="1" applyAlignment="1">
      <alignment horizontal="center" vertical="center" wrapText="1"/>
    </xf>
    <xf numFmtId="0" fontId="12" fillId="0" borderId="29" xfId="5" applyBorder="1" applyAlignment="1">
      <alignment horizontal="center" vertical="center"/>
    </xf>
    <xf numFmtId="164" fontId="12" fillId="0" borderId="24" xfId="5" applyNumberFormat="1" applyBorder="1" applyAlignment="1">
      <alignment vertical="center"/>
    </xf>
    <xf numFmtId="164" fontId="12" fillId="0" borderId="26" xfId="5" applyNumberFormat="1" applyBorder="1" applyAlignment="1">
      <alignment vertical="center"/>
    </xf>
    <xf numFmtId="164" fontId="12" fillId="0" borderId="25" xfId="5" applyNumberFormat="1" applyBorder="1" applyAlignment="1">
      <alignment vertical="center"/>
    </xf>
    <xf numFmtId="0" fontId="27" fillId="0" borderId="32" xfId="5" applyFont="1" applyBorder="1" applyAlignment="1">
      <alignment horizontal="center" vertical="center" wrapText="1"/>
    </xf>
    <xf numFmtId="0" fontId="32" fillId="0" borderId="0" xfId="4" applyFont="1" applyFill="1"/>
    <xf numFmtId="0" fontId="32" fillId="2" borderId="0" xfId="4" applyFont="1" applyFill="1"/>
    <xf numFmtId="0" fontId="32" fillId="0" borderId="0" xfId="4" applyFont="1" applyFill="1" applyAlignment="1">
      <alignment horizontal="left"/>
    </xf>
    <xf numFmtId="0" fontId="33" fillId="0" borderId="0" xfId="4" applyFont="1" applyFill="1" applyAlignment="1">
      <alignment horizontal="centerContinuous"/>
    </xf>
    <xf numFmtId="0" fontId="32" fillId="0" borderId="0" xfId="4" applyFont="1" applyFill="1" applyAlignment="1">
      <alignment horizontal="centerContinuous"/>
    </xf>
    <xf numFmtId="0" fontId="32" fillId="2" borderId="0" xfId="4" applyFont="1" applyFill="1" applyAlignment="1">
      <alignment horizontal="centerContinuous"/>
    </xf>
    <xf numFmtId="0" fontId="32" fillId="0" borderId="33" xfId="4" applyFont="1" applyFill="1" applyBorder="1"/>
    <xf numFmtId="0" fontId="32" fillId="0" borderId="34" xfId="4" applyFont="1" applyFill="1" applyBorder="1"/>
    <xf numFmtId="0" fontId="34" fillId="0" borderId="34" xfId="4" applyFont="1" applyFill="1" applyBorder="1" applyAlignment="1">
      <alignment horizontal="center"/>
    </xf>
    <xf numFmtId="0" fontId="34" fillId="0" borderId="35" xfId="4" applyFont="1" applyFill="1" applyBorder="1" applyAlignment="1">
      <alignment horizontal="center"/>
    </xf>
    <xf numFmtId="0" fontId="34" fillId="0" borderId="36" xfId="4" applyFont="1" applyFill="1" applyBorder="1" applyAlignment="1">
      <alignment horizontal="center"/>
    </xf>
    <xf numFmtId="0" fontId="34" fillId="2" borderId="36" xfId="4" applyFont="1" applyFill="1" applyBorder="1" applyAlignment="1">
      <alignment horizontal="center"/>
    </xf>
    <xf numFmtId="0" fontId="32" fillId="0" borderId="37" xfId="4" applyFont="1" applyFill="1" applyBorder="1" applyAlignment="1">
      <alignment horizontal="center"/>
    </xf>
    <xf numFmtId="0" fontId="32" fillId="0" borderId="0" xfId="4" applyFont="1" applyFill="1" applyBorder="1" applyAlignment="1">
      <alignment horizontal="centerContinuous"/>
    </xf>
    <xf numFmtId="0" fontId="34" fillId="0" borderId="38" xfId="4" applyFont="1" applyFill="1" applyBorder="1" applyAlignment="1">
      <alignment horizontal="center"/>
    </xf>
    <xf numFmtId="0" fontId="34" fillId="0" borderId="39" xfId="4" applyFont="1" applyFill="1" applyBorder="1" applyAlignment="1">
      <alignment horizontal="center"/>
    </xf>
    <xf numFmtId="0" fontId="32" fillId="0" borderId="9" xfId="4" applyFont="1" applyFill="1" applyBorder="1" applyAlignment="1">
      <alignment horizontal="center"/>
    </xf>
    <xf numFmtId="0" fontId="32" fillId="0" borderId="40" xfId="4" applyFont="1" applyFill="1" applyBorder="1" applyAlignment="1">
      <alignment horizontal="center"/>
    </xf>
    <xf numFmtId="0" fontId="32" fillId="0" borderId="41" xfId="4" applyFont="1" applyFill="1" applyBorder="1" applyAlignment="1">
      <alignment horizontal="center"/>
    </xf>
    <xf numFmtId="0" fontId="32" fillId="0" borderId="42" xfId="4" applyFont="1" applyFill="1" applyBorder="1" applyAlignment="1">
      <alignment horizontal="center" wrapText="1"/>
    </xf>
    <xf numFmtId="0" fontId="32" fillId="2" borderId="9" xfId="4" applyFont="1" applyFill="1" applyBorder="1" applyAlignment="1">
      <alignment horizontal="center"/>
    </xf>
    <xf numFmtId="0" fontId="32" fillId="0" borderId="43" xfId="4" applyFont="1" applyFill="1" applyBorder="1" applyAlignment="1">
      <alignment horizontal="centerContinuous"/>
    </xf>
    <xf numFmtId="0" fontId="32" fillId="0" borderId="0" xfId="4" applyFont="1" applyFill="1" applyBorder="1" applyAlignment="1">
      <alignment horizontal="center"/>
    </xf>
    <xf numFmtId="0" fontId="32" fillId="0" borderId="44" xfId="4" applyFont="1" applyFill="1" applyBorder="1" applyAlignment="1">
      <alignment horizontal="right" vertical="center" wrapText="1"/>
    </xf>
    <xf numFmtId="0" fontId="32" fillId="0" borderId="45" xfId="4" applyFont="1" applyFill="1" applyBorder="1" applyAlignment="1">
      <alignment horizontal="right" vertical="center" wrapText="1"/>
    </xf>
    <xf numFmtId="0" fontId="32" fillId="0" borderId="45" xfId="4" applyFont="1" applyFill="1" applyBorder="1" applyAlignment="1">
      <alignment horizontal="center"/>
    </xf>
    <xf numFmtId="0" fontId="32" fillId="0" borderId="46" xfId="4" applyFont="1" applyFill="1" applyBorder="1" applyAlignment="1">
      <alignment horizontal="center"/>
    </xf>
    <xf numFmtId="0" fontId="32" fillId="0" borderId="47" xfId="4" applyFont="1" applyFill="1" applyBorder="1" applyAlignment="1">
      <alignment horizontal="center"/>
    </xf>
    <xf numFmtId="0" fontId="32" fillId="0" borderId="48" xfId="4" applyFont="1" applyFill="1" applyBorder="1" applyAlignment="1">
      <alignment horizontal="center"/>
    </xf>
    <xf numFmtId="0" fontId="32" fillId="2" borderId="48" xfId="4" applyFont="1" applyFill="1" applyBorder="1" applyAlignment="1">
      <alignment horizontal="center"/>
    </xf>
    <xf numFmtId="49" fontId="32" fillId="0" borderId="49" xfId="4" applyNumberFormat="1" applyFont="1" applyFill="1" applyBorder="1" applyAlignment="1">
      <alignment horizontal="center"/>
    </xf>
    <xf numFmtId="0" fontId="34" fillId="0" borderId="50" xfId="4" applyFont="1" applyFill="1" applyBorder="1" applyAlignment="1">
      <alignment horizontal="center" vertical="center" wrapText="1"/>
    </xf>
    <xf numFmtId="0" fontId="34" fillId="0" borderId="41" xfId="4" applyFont="1" applyFill="1" applyBorder="1" applyAlignment="1">
      <alignment horizontal="center" vertical="center" wrapText="1"/>
    </xf>
    <xf numFmtId="0" fontId="35" fillId="0" borderId="41" xfId="4" applyFont="1" applyFill="1" applyBorder="1" applyAlignment="1">
      <alignment horizontal="center"/>
    </xf>
    <xf numFmtId="0" fontId="35" fillId="0" borderId="40" xfId="4" applyFont="1" applyFill="1" applyBorder="1" applyAlignment="1">
      <alignment horizontal="center"/>
    </xf>
    <xf numFmtId="0" fontId="35" fillId="0" borderId="42" xfId="4" applyFont="1" applyFill="1" applyBorder="1" applyAlignment="1">
      <alignment horizontal="center"/>
    </xf>
    <xf numFmtId="0" fontId="35" fillId="0" borderId="9" xfId="4" applyFont="1" applyFill="1" applyBorder="1" applyAlignment="1">
      <alignment horizontal="center"/>
    </xf>
    <xf numFmtId="0" fontId="35" fillId="2" borderId="41" xfId="4" applyFont="1" applyFill="1" applyBorder="1" applyAlignment="1">
      <alignment horizontal="center"/>
    </xf>
    <xf numFmtId="0" fontId="35" fillId="2" borderId="9" xfId="4" applyFont="1" applyFill="1" applyBorder="1" applyAlignment="1">
      <alignment horizontal="center"/>
    </xf>
    <xf numFmtId="0" fontId="35" fillId="0" borderId="43" xfId="4" applyFont="1" applyFill="1" applyBorder="1" applyAlignment="1">
      <alignment horizontal="center"/>
    </xf>
    <xf numFmtId="2" fontId="36" fillId="0" borderId="0" xfId="4" applyNumberFormat="1" applyFont="1" applyFill="1" applyBorder="1" applyAlignment="1">
      <alignment horizontal="right"/>
    </xf>
    <xf numFmtId="0" fontId="32" fillId="0" borderId="50" xfId="4" applyFont="1" applyFill="1" applyBorder="1" applyAlignment="1">
      <alignment vertical="center" wrapText="1"/>
    </xf>
    <xf numFmtId="0" fontId="32" fillId="0" borderId="41" xfId="4" applyFont="1" applyFill="1" applyBorder="1" applyAlignment="1">
      <alignment vertical="center" wrapText="1"/>
    </xf>
    <xf numFmtId="3" fontId="32" fillId="0" borderId="41" xfId="4" applyNumberFormat="1" applyFont="1" applyFill="1" applyBorder="1" applyAlignment="1">
      <alignment horizontal="right" wrapText="1"/>
    </xf>
    <xf numFmtId="3" fontId="32" fillId="0" borderId="40" xfId="4" applyNumberFormat="1" applyFont="1" applyFill="1" applyBorder="1" applyAlignment="1">
      <alignment horizontal="right" wrapText="1"/>
    </xf>
    <xf numFmtId="3" fontId="32" fillId="0" borderId="42" xfId="4" applyNumberFormat="1" applyFont="1" applyFill="1" applyBorder="1" applyAlignment="1">
      <alignment horizontal="right" wrapText="1"/>
    </xf>
    <xf numFmtId="3" fontId="32" fillId="0" borderId="9" xfId="4" applyNumberFormat="1" applyFont="1" applyFill="1" applyBorder="1" applyAlignment="1">
      <alignment horizontal="right" wrapText="1"/>
    </xf>
    <xf numFmtId="165" fontId="32" fillId="2" borderId="41" xfId="4" applyNumberFormat="1" applyFont="1" applyFill="1" applyBorder="1" applyAlignment="1">
      <alignment horizontal="right" wrapText="1"/>
    </xf>
    <xf numFmtId="165" fontId="32" fillId="0" borderId="41" xfId="4" applyNumberFormat="1" applyFont="1" applyFill="1" applyBorder="1" applyAlignment="1">
      <alignment horizontal="right" wrapText="1"/>
    </xf>
    <xf numFmtId="165" fontId="32" fillId="2" borderId="9" xfId="4" applyNumberFormat="1" applyFont="1" applyFill="1" applyBorder="1" applyAlignment="1">
      <alignment horizontal="right" wrapText="1"/>
    </xf>
    <xf numFmtId="165" fontId="32" fillId="0" borderId="9" xfId="4" applyNumberFormat="1" applyFont="1" applyFill="1" applyBorder="1" applyAlignment="1">
      <alignment horizontal="right" wrapText="1"/>
    </xf>
    <xf numFmtId="165" fontId="32" fillId="0" borderId="42" xfId="4" applyNumberFormat="1" applyFont="1" applyFill="1" applyBorder="1" applyAlignment="1">
      <alignment horizontal="right" wrapText="1"/>
    </xf>
    <xf numFmtId="165" fontId="32" fillId="0" borderId="43" xfId="4" applyNumberFormat="1" applyFont="1" applyFill="1" applyBorder="1" applyAlignment="1">
      <alignment horizontal="right" wrapText="1"/>
    </xf>
    <xf numFmtId="2" fontId="36" fillId="0" borderId="0" xfId="4" applyNumberFormat="1" applyFont="1" applyFill="1" applyBorder="1" applyAlignment="1">
      <alignment horizontal="right" wrapText="1"/>
    </xf>
    <xf numFmtId="0" fontId="33" fillId="0" borderId="50" xfId="4" applyFont="1" applyFill="1" applyBorder="1" applyAlignment="1">
      <alignment vertical="center"/>
    </xf>
    <xf numFmtId="0" fontId="33" fillId="0" borderId="41" xfId="4" applyFont="1" applyFill="1" applyBorder="1" applyAlignment="1">
      <alignment vertical="center"/>
    </xf>
    <xf numFmtId="0" fontId="34" fillId="0" borderId="50" xfId="4" applyFont="1" applyFill="1" applyBorder="1" applyAlignment="1">
      <alignment vertical="center" wrapText="1"/>
    </xf>
    <xf numFmtId="0" fontId="34" fillId="0" borderId="41" xfId="4" applyFont="1" applyFill="1" applyBorder="1" applyAlignment="1">
      <alignment vertical="center" wrapText="1"/>
    </xf>
    <xf numFmtId="0" fontId="32" fillId="0" borderId="51" xfId="4" applyFont="1" applyFill="1" applyBorder="1" applyAlignment="1">
      <alignment vertical="center" wrapText="1"/>
    </xf>
    <xf numFmtId="0" fontId="32" fillId="0" borderId="52" xfId="4" applyFont="1" applyFill="1" applyBorder="1" applyAlignment="1">
      <alignment vertical="center" wrapText="1"/>
    </xf>
    <xf numFmtId="3" fontId="32" fillId="0" borderId="52" xfId="4" applyNumberFormat="1" applyFont="1" applyFill="1" applyBorder="1"/>
    <xf numFmtId="3" fontId="32" fillId="0" borderId="53" xfId="4" applyNumberFormat="1" applyFont="1" applyFill="1" applyBorder="1"/>
    <xf numFmtId="3" fontId="37" fillId="0" borderId="52" xfId="4" applyNumberFormat="1" applyFont="1" applyFill="1" applyBorder="1"/>
    <xf numFmtId="3" fontId="32" fillId="0" borderId="54" xfId="4" applyNumberFormat="1" applyFont="1" applyFill="1" applyBorder="1"/>
    <xf numFmtId="3" fontId="32" fillId="0" borderId="12" xfId="4" applyNumberFormat="1" applyFont="1" applyFill="1" applyBorder="1"/>
    <xf numFmtId="3" fontId="32" fillId="2" borderId="52" xfId="4" applyNumberFormat="1" applyFont="1" applyFill="1" applyBorder="1"/>
    <xf numFmtId="3" fontId="32" fillId="2" borderId="12" xfId="4" applyNumberFormat="1" applyFont="1" applyFill="1" applyBorder="1"/>
    <xf numFmtId="165" fontId="32" fillId="0" borderId="55" xfId="4" applyNumberFormat="1" applyFont="1" applyFill="1" applyBorder="1"/>
    <xf numFmtId="2" fontId="36" fillId="0" borderId="0" xfId="4" applyNumberFormat="1" applyFont="1" applyFill="1" applyBorder="1"/>
    <xf numFmtId="0" fontId="32" fillId="0" borderId="52" xfId="4" applyFont="1" applyFill="1" applyBorder="1" applyAlignment="1">
      <alignment vertical="top" wrapText="1"/>
    </xf>
    <xf numFmtId="0" fontId="32" fillId="0" borderId="56" xfId="4" applyFont="1" applyFill="1" applyBorder="1" applyAlignment="1">
      <alignment vertical="center" wrapText="1"/>
    </xf>
    <xf numFmtId="0" fontId="32" fillId="0" borderId="57" xfId="4" applyFont="1" applyFill="1" applyBorder="1" applyAlignment="1">
      <alignment horizontal="left" vertical="center" wrapText="1"/>
    </xf>
    <xf numFmtId="3" fontId="32" fillId="0" borderId="57" xfId="4" applyNumberFormat="1" applyFont="1" applyFill="1" applyBorder="1" applyAlignment="1">
      <alignment horizontal="right"/>
    </xf>
    <xf numFmtId="3" fontId="32" fillId="0" borderId="58" xfId="4" applyNumberFormat="1" applyFont="1" applyFill="1" applyBorder="1" applyAlignment="1">
      <alignment horizontal="right"/>
    </xf>
    <xf numFmtId="3" fontId="37" fillId="0" borderId="57" xfId="4" applyNumberFormat="1" applyFont="1" applyFill="1" applyBorder="1" applyAlignment="1">
      <alignment horizontal="right"/>
    </xf>
    <xf numFmtId="3" fontId="32" fillId="0" borderId="59" xfId="4" applyNumberFormat="1" applyFont="1" applyFill="1" applyBorder="1" applyAlignment="1">
      <alignment horizontal="right"/>
    </xf>
    <xf numFmtId="3" fontId="32" fillId="0" borderId="60" xfId="4" applyNumberFormat="1" applyFont="1" applyFill="1" applyBorder="1"/>
    <xf numFmtId="3" fontId="32" fillId="0" borderId="57" xfId="4" applyNumberFormat="1" applyFont="1" applyFill="1" applyBorder="1"/>
    <xf numFmtId="3" fontId="32" fillId="2" borderId="57" xfId="4" applyNumberFormat="1" applyFont="1" applyFill="1" applyBorder="1"/>
    <xf numFmtId="3" fontId="32" fillId="2" borderId="60" xfId="4" applyNumberFormat="1" applyFont="1" applyFill="1" applyBorder="1"/>
    <xf numFmtId="3" fontId="32" fillId="0" borderId="59" xfId="4" applyNumberFormat="1" applyFont="1" applyFill="1" applyBorder="1"/>
    <xf numFmtId="165" fontId="32" fillId="0" borderId="61" xfId="4" applyNumberFormat="1" applyFont="1" applyFill="1" applyBorder="1"/>
    <xf numFmtId="3" fontId="32" fillId="0" borderId="0" xfId="4" applyNumberFormat="1" applyFont="1" applyFill="1"/>
    <xf numFmtId="0" fontId="32" fillId="0" borderId="41" xfId="4" applyFont="1" applyFill="1" applyBorder="1" applyAlignment="1">
      <alignment horizontal="left" vertical="center" wrapText="1"/>
    </xf>
    <xf numFmtId="3" fontId="32" fillId="0" borderId="41" xfId="4" applyNumberFormat="1" applyFont="1" applyFill="1" applyBorder="1"/>
    <xf numFmtId="3" fontId="32" fillId="0" borderId="40" xfId="4" applyNumberFormat="1" applyFont="1" applyFill="1" applyBorder="1"/>
    <xf numFmtId="3" fontId="32" fillId="0" borderId="42" xfId="4" applyNumberFormat="1" applyFont="1" applyFill="1" applyBorder="1"/>
    <xf numFmtId="3" fontId="32" fillId="0" borderId="9" xfId="4" applyNumberFormat="1" applyFont="1" applyFill="1" applyBorder="1"/>
    <xf numFmtId="3" fontId="32" fillId="2" borderId="41" xfId="4" applyNumberFormat="1" applyFont="1" applyFill="1" applyBorder="1"/>
    <xf numFmtId="3" fontId="32" fillId="2" borderId="9" xfId="4" applyNumberFormat="1" applyFont="1" applyFill="1" applyBorder="1"/>
    <xf numFmtId="165" fontId="32" fillId="0" borderId="43" xfId="4" applyNumberFormat="1" applyFont="1" applyFill="1" applyBorder="1"/>
    <xf numFmtId="0" fontId="32" fillId="0" borderId="52" xfId="4" applyFont="1" applyFill="1" applyBorder="1" applyAlignment="1">
      <alignment horizontal="left" wrapText="1"/>
    </xf>
    <xf numFmtId="2" fontId="32" fillId="0" borderId="0" xfId="4" applyNumberFormat="1" applyFont="1" applyFill="1" applyBorder="1"/>
    <xf numFmtId="165" fontId="32" fillId="2" borderId="52" xfId="4" applyNumberFormat="1" applyFont="1" applyFill="1" applyBorder="1"/>
    <xf numFmtId="165" fontId="32" fillId="0" borderId="52" xfId="4" applyNumberFormat="1" applyFont="1" applyFill="1" applyBorder="1"/>
    <xf numFmtId="165" fontId="32" fillId="2" borderId="12" xfId="4" applyNumberFormat="1" applyFont="1" applyFill="1" applyBorder="1"/>
    <xf numFmtId="165" fontId="32" fillId="0" borderId="12" xfId="4" applyNumberFormat="1" applyFont="1" applyFill="1" applyBorder="1"/>
    <xf numFmtId="165" fontId="32" fillId="0" borderId="54" xfId="4" applyNumberFormat="1" applyFont="1" applyFill="1" applyBorder="1"/>
    <xf numFmtId="3" fontId="32" fillId="0" borderId="52" xfId="4" applyNumberFormat="1" applyFont="1" applyFill="1" applyBorder="1" applyAlignment="1">
      <alignment horizontal="right" wrapText="1"/>
    </xf>
    <xf numFmtId="3" fontId="32" fillId="0" borderId="53" xfId="4" applyNumberFormat="1" applyFont="1" applyFill="1" applyBorder="1" applyAlignment="1">
      <alignment horizontal="right" wrapText="1"/>
    </xf>
    <xf numFmtId="3" fontId="32" fillId="0" borderId="54" xfId="4" applyNumberFormat="1" applyFont="1" applyFill="1" applyBorder="1" applyAlignment="1">
      <alignment horizontal="right" wrapText="1"/>
    </xf>
    <xf numFmtId="3" fontId="32" fillId="0" borderId="12" xfId="4" applyNumberFormat="1" applyFont="1" applyFill="1" applyBorder="1" applyAlignment="1">
      <alignment horizontal="right" wrapText="1"/>
    </xf>
    <xf numFmtId="3" fontId="32" fillId="2" borderId="52" xfId="4" applyNumberFormat="1" applyFont="1" applyFill="1" applyBorder="1" applyAlignment="1">
      <alignment horizontal="right" wrapText="1"/>
    </xf>
    <xf numFmtId="165" fontId="32" fillId="2" borderId="52" xfId="4" applyNumberFormat="1" applyFont="1" applyFill="1" applyBorder="1" applyAlignment="1">
      <alignment horizontal="right" wrapText="1"/>
    </xf>
    <xf numFmtId="165" fontId="32" fillId="0" borderId="52" xfId="4" applyNumberFormat="1" applyFont="1" applyFill="1" applyBorder="1" applyAlignment="1">
      <alignment horizontal="right" wrapText="1"/>
    </xf>
    <xf numFmtId="165" fontId="32" fillId="2" borderId="12" xfId="4" applyNumberFormat="1" applyFont="1" applyFill="1" applyBorder="1" applyAlignment="1">
      <alignment horizontal="right" wrapText="1"/>
    </xf>
    <xf numFmtId="165" fontId="32" fillId="0" borderId="12" xfId="4" applyNumberFormat="1" applyFont="1" applyFill="1" applyBorder="1" applyAlignment="1">
      <alignment horizontal="right" wrapText="1"/>
    </xf>
    <xf numFmtId="165" fontId="32" fillId="0" borderId="54" xfId="4" applyNumberFormat="1" applyFont="1" applyFill="1" applyBorder="1" applyAlignment="1">
      <alignment horizontal="right" wrapText="1"/>
    </xf>
    <xf numFmtId="165" fontId="32" fillId="0" borderId="55" xfId="4" applyNumberFormat="1" applyFont="1" applyFill="1" applyBorder="1" applyAlignment="1">
      <alignment horizontal="right" wrapText="1"/>
    </xf>
    <xf numFmtId="0" fontId="36" fillId="0" borderId="62" xfId="4" applyFont="1" applyFill="1" applyBorder="1" applyAlignment="1">
      <alignment vertical="center" wrapText="1"/>
    </xf>
    <xf numFmtId="0" fontId="36" fillId="0" borderId="63" xfId="4" applyFont="1" applyFill="1" applyBorder="1" applyAlignment="1">
      <alignment vertical="center" wrapText="1"/>
    </xf>
    <xf numFmtId="3" fontId="36" fillId="0" borderId="63" xfId="4" applyNumberFormat="1" applyFont="1" applyFill="1" applyBorder="1"/>
    <xf numFmtId="3" fontId="36" fillId="0" borderId="64" xfId="4" applyNumberFormat="1" applyFont="1" applyFill="1" applyBorder="1"/>
    <xf numFmtId="3" fontId="36" fillId="0" borderId="65" xfId="4" applyNumberFormat="1" applyFont="1" applyFill="1" applyBorder="1"/>
    <xf numFmtId="3" fontId="32" fillId="0" borderId="18" xfId="4" applyNumberFormat="1" applyFont="1" applyFill="1" applyBorder="1"/>
    <xf numFmtId="3" fontId="32" fillId="0" borderId="63" xfId="4" applyNumberFormat="1" applyFont="1" applyFill="1" applyBorder="1"/>
    <xf numFmtId="3" fontId="32" fillId="2" borderId="63" xfId="4" applyNumberFormat="1" applyFont="1" applyFill="1" applyBorder="1"/>
    <xf numFmtId="3" fontId="32" fillId="2" borderId="18" xfId="4" applyNumberFormat="1" applyFont="1" applyFill="1" applyBorder="1"/>
    <xf numFmtId="3" fontId="32" fillId="0" borderId="65" xfId="4" applyNumberFormat="1" applyFont="1" applyFill="1" applyBorder="1"/>
    <xf numFmtId="165" fontId="32" fillId="0" borderId="66" xfId="4" applyNumberFormat="1" applyFont="1" applyFill="1" applyBorder="1"/>
    <xf numFmtId="0" fontId="33" fillId="0" borderId="67" xfId="4" applyFont="1" applyFill="1" applyBorder="1" applyAlignment="1">
      <alignment horizontal="left"/>
    </xf>
    <xf numFmtId="0" fontId="33" fillId="0" borderId="68" xfId="4" applyFont="1" applyFill="1" applyBorder="1" applyAlignment="1">
      <alignment horizontal="left"/>
    </xf>
    <xf numFmtId="3" fontId="39" fillId="0" borderId="68" xfId="4" applyNumberFormat="1" applyFont="1" applyFill="1" applyBorder="1" applyAlignment="1">
      <alignment horizontal="right" wrapText="1"/>
    </xf>
    <xf numFmtId="3" fontId="39" fillId="0" borderId="69" xfId="4" applyNumberFormat="1" applyFont="1" applyFill="1" applyBorder="1" applyAlignment="1">
      <alignment horizontal="right" wrapText="1"/>
    </xf>
    <xf numFmtId="3" fontId="39" fillId="0" borderId="70" xfId="4" applyNumberFormat="1" applyFont="1" applyFill="1" applyBorder="1" applyAlignment="1">
      <alignment horizontal="right" wrapText="1"/>
    </xf>
    <xf numFmtId="3" fontId="39" fillId="2" borderId="68" xfId="4" applyNumberFormat="1" applyFont="1" applyFill="1" applyBorder="1" applyAlignment="1">
      <alignment horizontal="right" wrapText="1"/>
    </xf>
    <xf numFmtId="3" fontId="39" fillId="2" borderId="71" xfId="4" applyNumberFormat="1" applyFont="1" applyFill="1" applyBorder="1" applyAlignment="1">
      <alignment horizontal="right" wrapText="1"/>
    </xf>
    <xf numFmtId="3" fontId="39" fillId="0" borderId="71" xfId="4" applyNumberFormat="1" applyFont="1" applyFill="1" applyBorder="1" applyAlignment="1">
      <alignment horizontal="right" wrapText="1"/>
    </xf>
    <xf numFmtId="165" fontId="39" fillId="0" borderId="72" xfId="4" applyNumberFormat="1" applyFont="1" applyFill="1" applyBorder="1" applyAlignment="1">
      <alignment horizontal="right" wrapText="1"/>
    </xf>
    <xf numFmtId="2" fontId="39" fillId="0" borderId="0" xfId="4" applyNumberFormat="1" applyFont="1" applyFill="1" applyBorder="1" applyAlignment="1">
      <alignment horizontal="right" wrapText="1"/>
    </xf>
    <xf numFmtId="0" fontId="40" fillId="0" borderId="0" xfId="4" applyFont="1" applyFill="1" applyBorder="1" applyAlignment="1">
      <alignment horizontal="left" vertical="center" wrapText="1"/>
    </xf>
    <xf numFmtId="0" fontId="38" fillId="0" borderId="0" xfId="4" applyFont="1" applyFill="1" applyBorder="1" applyAlignment="1">
      <alignment horizontal="right" wrapText="1"/>
    </xf>
    <xf numFmtId="0" fontId="38" fillId="2" borderId="0" xfId="4" applyFont="1" applyFill="1" applyBorder="1" applyAlignment="1">
      <alignment horizontal="right" wrapText="1"/>
    </xf>
    <xf numFmtId="0" fontId="38" fillId="0" borderId="0" xfId="4" applyFont="1" applyFill="1"/>
    <xf numFmtId="0" fontId="38" fillId="0" borderId="0" xfId="4" applyFont="1" applyFill="1" applyBorder="1"/>
    <xf numFmtId="0" fontId="38" fillId="2" borderId="0" xfId="4" applyFont="1" applyFill="1" applyBorder="1"/>
    <xf numFmtId="0" fontId="38" fillId="0" borderId="0" xfId="4" applyFont="1" applyFill="1" applyAlignment="1"/>
    <xf numFmtId="0" fontId="34" fillId="0" borderId="0" xfId="4" applyFont="1" applyFill="1" applyBorder="1" applyAlignment="1"/>
    <xf numFmtId="0" fontId="34" fillId="0" borderId="0" xfId="4" applyFont="1" applyFill="1" applyBorder="1" applyAlignment="1">
      <alignment horizontal="centerContinuous"/>
    </xf>
    <xf numFmtId="0" fontId="34" fillId="2" borderId="0" xfId="4" applyFont="1" applyFill="1" applyBorder="1" applyAlignment="1">
      <alignment horizontal="centerContinuous"/>
    </xf>
    <xf numFmtId="0" fontId="34" fillId="0" borderId="53" xfId="4" applyFont="1" applyFill="1" applyBorder="1"/>
    <xf numFmtId="164" fontId="41" fillId="0" borderId="12" xfId="4" applyNumberFormat="1" applyFont="1" applyFill="1" applyBorder="1"/>
    <xf numFmtId="3" fontId="41" fillId="0" borderId="53" xfId="4" applyNumberFormat="1" applyFont="1" applyFill="1" applyBorder="1"/>
    <xf numFmtId="3" fontId="34" fillId="0" borderId="52" xfId="4" applyNumberFormat="1" applyFont="1" applyFill="1" applyBorder="1"/>
    <xf numFmtId="3" fontId="41" fillId="0" borderId="52" xfId="4" applyNumberFormat="1" applyFont="1" applyFill="1" applyBorder="1"/>
    <xf numFmtId="3" fontId="41" fillId="0" borderId="12" xfId="4" applyNumberFormat="1" applyFont="1" applyFill="1" applyBorder="1"/>
    <xf numFmtId="3" fontId="41" fillId="2" borderId="12" xfId="4" applyNumberFormat="1" applyFont="1" applyFill="1" applyBorder="1"/>
    <xf numFmtId="0" fontId="32" fillId="0" borderId="0" xfId="4" applyFont="1" applyFill="1" applyBorder="1"/>
    <xf numFmtId="0" fontId="32" fillId="0" borderId="9" xfId="4" applyFont="1" applyFill="1" applyBorder="1" applyAlignment="1">
      <alignment vertical="center" wrapText="1"/>
    </xf>
    <xf numFmtId="165" fontId="32" fillId="0" borderId="41" xfId="4" applyNumberFormat="1" applyFont="1" applyFill="1" applyBorder="1" applyAlignment="1">
      <alignment vertical="center" wrapText="1"/>
    </xf>
    <xf numFmtId="165" fontId="32" fillId="0" borderId="40" xfId="4" applyNumberFormat="1" applyFont="1" applyFill="1" applyBorder="1" applyAlignment="1">
      <alignment vertical="center" wrapText="1"/>
    </xf>
    <xf numFmtId="165" fontId="32" fillId="2" borderId="41" xfId="4" applyNumberFormat="1" applyFont="1" applyFill="1" applyBorder="1" applyAlignment="1">
      <alignment vertical="center" wrapText="1"/>
    </xf>
    <xf numFmtId="165" fontId="32" fillId="0" borderId="0" xfId="4" applyNumberFormat="1" applyFont="1" applyFill="1" applyBorder="1" applyAlignment="1">
      <alignment vertical="center" wrapText="1"/>
    </xf>
    <xf numFmtId="165" fontId="32" fillId="0" borderId="0" xfId="4" applyNumberFormat="1" applyFont="1" applyFill="1" applyBorder="1"/>
    <xf numFmtId="165" fontId="32" fillId="0" borderId="39" xfId="4" applyNumberFormat="1" applyFont="1" applyFill="1" applyBorder="1"/>
    <xf numFmtId="165" fontId="32" fillId="0" borderId="73" xfId="4" applyNumberFormat="1" applyFont="1" applyFill="1" applyBorder="1"/>
    <xf numFmtId="165" fontId="32" fillId="2" borderId="39" xfId="4" applyNumberFormat="1" applyFont="1" applyFill="1" applyBorder="1"/>
    <xf numFmtId="0" fontId="34" fillId="0" borderId="9" xfId="4" applyFont="1" applyFill="1" applyBorder="1" applyAlignment="1">
      <alignment vertical="center" wrapText="1"/>
    </xf>
    <xf numFmtId="3" fontId="42" fillId="0" borderId="52" xfId="4" applyNumberFormat="1" applyFont="1" applyFill="1" applyBorder="1"/>
    <xf numFmtId="3" fontId="42" fillId="0" borderId="53" xfId="4" applyNumberFormat="1" applyFont="1" applyFill="1" applyBorder="1"/>
    <xf numFmtId="3" fontId="41" fillId="2" borderId="52" xfId="4" applyNumberFormat="1" applyFont="1" applyFill="1" applyBorder="1"/>
    <xf numFmtId="0" fontId="32" fillId="0" borderId="0" xfId="4" applyFont="1" applyFill="1" applyBorder="1" applyAlignment="1">
      <alignment vertical="center" wrapText="1"/>
    </xf>
    <xf numFmtId="0" fontId="34" fillId="0" borderId="12" xfId="4" applyFont="1" applyFill="1" applyBorder="1" applyAlignment="1">
      <alignment vertical="center" wrapText="1"/>
    </xf>
    <xf numFmtId="0" fontId="43" fillId="0" borderId="0" xfId="4" applyFont="1" applyFill="1"/>
    <xf numFmtId="3" fontId="32" fillId="2" borderId="0" xfId="4" applyNumberFormat="1" applyFont="1" applyFill="1"/>
    <xf numFmtId="165" fontId="32" fillId="2" borderId="0" xfId="4" applyNumberFormat="1" applyFont="1" applyFill="1" applyBorder="1"/>
    <xf numFmtId="0" fontId="36" fillId="0" borderId="0" xfId="4" applyFont="1" applyFill="1" applyBorder="1" applyAlignment="1">
      <alignment vertical="center" wrapText="1"/>
    </xf>
    <xf numFmtId="0" fontId="32" fillId="0" borderId="0" xfId="4" applyFont="1"/>
    <xf numFmtId="3" fontId="32" fillId="0" borderId="0" xfId="4" applyNumberFormat="1" applyFont="1"/>
    <xf numFmtId="0" fontId="33" fillId="0" borderId="0" xfId="4" applyFont="1" applyAlignment="1">
      <alignment horizontal="centerContinuous"/>
    </xf>
    <xf numFmtId="0" fontId="32" fillId="0" borderId="0" xfId="4" applyFont="1" applyAlignment="1">
      <alignment horizontal="centerContinuous"/>
    </xf>
    <xf numFmtId="3" fontId="32" fillId="0" borderId="0" xfId="4" applyNumberFormat="1" applyFont="1" applyAlignment="1">
      <alignment horizontal="centerContinuous"/>
    </xf>
    <xf numFmtId="0" fontId="32" fillId="0" borderId="0" xfId="4" applyFont="1" applyBorder="1" applyAlignment="1">
      <alignment horizontal="centerContinuous"/>
    </xf>
    <xf numFmtId="0" fontId="32" fillId="0" borderId="0" xfId="4" applyFont="1" applyBorder="1" applyAlignment="1">
      <alignment horizontal="center"/>
    </xf>
    <xf numFmtId="2" fontId="47" fillId="0" borderId="0" xfId="4" applyNumberFormat="1" applyFont="1" applyBorder="1"/>
    <xf numFmtId="2" fontId="36" fillId="0" borderId="0" xfId="4" applyNumberFormat="1" applyFont="1" applyBorder="1" applyAlignment="1"/>
    <xf numFmtId="2" fontId="36" fillId="0" borderId="0" xfId="4" applyNumberFormat="1" applyFont="1" applyBorder="1"/>
    <xf numFmtId="2" fontId="36" fillId="0" borderId="0" xfId="4" applyNumberFormat="1" applyFont="1" applyBorder="1" applyAlignment="1">
      <alignment horizontal="right" wrapText="1"/>
    </xf>
    <xf numFmtId="2" fontId="39" fillId="0" borderId="0" xfId="4" applyNumberFormat="1" applyFont="1" applyBorder="1" applyAlignment="1">
      <alignment horizontal="right" wrapText="1"/>
    </xf>
    <xf numFmtId="2" fontId="36" fillId="0" borderId="0" xfId="4" applyNumberFormat="1" applyFont="1" applyBorder="1" applyAlignment="1">
      <alignment horizontal="right" vertical="center"/>
    </xf>
    <xf numFmtId="2" fontId="36" fillId="0" borderId="0" xfId="4" applyNumberFormat="1" applyFont="1" applyFill="1" applyBorder="1" applyAlignment="1"/>
    <xf numFmtId="2" fontId="39" fillId="0" borderId="0" xfId="4" applyNumberFormat="1" applyFont="1" applyBorder="1"/>
    <xf numFmtId="0" fontId="38" fillId="0" borderId="0" xfId="4" applyFont="1" applyBorder="1" applyAlignment="1">
      <alignment horizontal="right" wrapText="1"/>
    </xf>
    <xf numFmtId="0" fontId="38" fillId="0" borderId="0" xfId="4" applyFont="1"/>
    <xf numFmtId="0" fontId="32" fillId="3" borderId="0" xfId="4" applyFont="1" applyFill="1" applyBorder="1" applyAlignment="1">
      <alignment horizontal="centerContinuous"/>
    </xf>
    <xf numFmtId="0" fontId="32" fillId="4" borderId="0" xfId="4" applyFont="1" applyFill="1"/>
    <xf numFmtId="3" fontId="32" fillId="4" borderId="0" xfId="4" applyNumberFormat="1" applyFont="1" applyFill="1"/>
    <xf numFmtId="0" fontId="32" fillId="0" borderId="33" xfId="0" applyFont="1" applyBorder="1"/>
    <xf numFmtId="0" fontId="32" fillId="0" borderId="34" xfId="0" applyFont="1" applyBorder="1"/>
    <xf numFmtId="0" fontId="34" fillId="0" borderId="34" xfId="0" applyFont="1" applyFill="1" applyBorder="1" applyAlignment="1">
      <alignment horizontal="center"/>
    </xf>
    <xf numFmtId="0" fontId="34" fillId="0" borderId="74" xfId="0" applyFont="1" applyFill="1" applyBorder="1" applyAlignment="1">
      <alignment horizontal="center"/>
    </xf>
    <xf numFmtId="0" fontId="34" fillId="0" borderId="36" xfId="0" applyFont="1" applyFill="1" applyBorder="1" applyAlignment="1">
      <alignment horizontal="center"/>
    </xf>
    <xf numFmtId="0" fontId="34" fillId="2" borderId="34" xfId="0" applyFont="1" applyFill="1" applyBorder="1" applyAlignment="1">
      <alignment horizontal="center"/>
    </xf>
    <xf numFmtId="0" fontId="34" fillId="2" borderId="34" xfId="0" applyFont="1" applyFill="1" applyBorder="1" applyAlignment="1">
      <alignment horizontal="centerContinuous"/>
    </xf>
    <xf numFmtId="0" fontId="34" fillId="0" borderId="34" xfId="0" applyFont="1" applyFill="1" applyBorder="1" applyAlignment="1">
      <alignment horizontal="centerContinuous"/>
    </xf>
    <xf numFmtId="0" fontId="34" fillId="2" borderId="36" xfId="0" applyFont="1" applyFill="1" applyBorder="1" applyAlignment="1">
      <alignment horizontal="center"/>
    </xf>
    <xf numFmtId="0" fontId="34" fillId="2" borderId="36" xfId="0" applyFont="1" applyFill="1" applyBorder="1" applyAlignment="1">
      <alignment horizontal="centerContinuous"/>
    </xf>
    <xf numFmtId="0" fontId="34" fillId="0" borderId="36" xfId="0" applyFont="1" applyFill="1" applyBorder="1" applyAlignment="1">
      <alignment horizontal="centerContinuous"/>
    </xf>
    <xf numFmtId="0" fontId="34" fillId="0" borderId="74" xfId="0" applyFont="1" applyFill="1" applyBorder="1" applyAlignment="1">
      <alignment horizontal="centerContinuous"/>
    </xf>
    <xf numFmtId="0" fontId="32" fillId="0" borderId="37" xfId="0" applyFont="1" applyFill="1" applyBorder="1" applyAlignment="1">
      <alignment horizontal="center"/>
    </xf>
    <xf numFmtId="0" fontId="34" fillId="0" borderId="38" xfId="0" applyFont="1" applyBorder="1" applyAlignment="1">
      <alignment horizontal="center"/>
    </xf>
    <xf numFmtId="0" fontId="34" fillId="0" borderId="39" xfId="0" applyFont="1" applyBorder="1" applyAlignment="1">
      <alignment horizontal="center"/>
    </xf>
    <xf numFmtId="0" fontId="32" fillId="0" borderId="9" xfId="0" applyFont="1" applyFill="1" applyBorder="1" applyAlignment="1">
      <alignment horizontal="center"/>
    </xf>
    <xf numFmtId="0" fontId="32" fillId="0" borderId="42" xfId="0" applyFont="1" applyFill="1" applyBorder="1" applyAlignment="1">
      <alignment horizontal="center"/>
    </xf>
    <xf numFmtId="0" fontId="32" fillId="0" borderId="41" xfId="0" applyFont="1" applyFill="1" applyBorder="1" applyAlignment="1">
      <alignment horizontal="center"/>
    </xf>
    <xf numFmtId="0" fontId="32" fillId="0" borderId="42" xfId="0" applyFont="1" applyFill="1" applyBorder="1" applyAlignment="1">
      <alignment horizontal="center" wrapText="1"/>
    </xf>
    <xf numFmtId="0" fontId="32" fillId="0" borderId="9" xfId="0" applyFont="1" applyFill="1" applyBorder="1" applyAlignment="1">
      <alignment horizontal="center" wrapText="1"/>
    </xf>
    <xf numFmtId="0" fontId="32" fillId="2" borderId="41" xfId="0" applyFont="1" applyFill="1" applyBorder="1" applyAlignment="1">
      <alignment horizontal="center"/>
    </xf>
    <xf numFmtId="0" fontId="32" fillId="2" borderId="41" xfId="0" applyFont="1" applyFill="1" applyBorder="1" applyAlignment="1">
      <alignment horizontal="centerContinuous"/>
    </xf>
    <xf numFmtId="0" fontId="32" fillId="0" borderId="41" xfId="0" applyFont="1" applyFill="1" applyBorder="1" applyAlignment="1">
      <alignment horizontal="centerContinuous"/>
    </xf>
    <xf numFmtId="0" fontId="32" fillId="2" borderId="9" xfId="0" applyFont="1" applyFill="1" applyBorder="1" applyAlignment="1">
      <alignment horizontal="center"/>
    </xf>
    <xf numFmtId="0" fontId="32" fillId="2" borderId="9" xfId="0" applyFont="1" applyFill="1" applyBorder="1" applyAlignment="1">
      <alignment horizontal="centerContinuous"/>
    </xf>
    <xf numFmtId="0" fontId="32" fillId="0" borderId="9" xfId="0" applyFont="1" applyFill="1" applyBorder="1" applyAlignment="1">
      <alignment horizontal="centerContinuous"/>
    </xf>
    <xf numFmtId="0" fontId="32" fillId="0" borderId="43" xfId="0" applyFont="1" applyFill="1" applyBorder="1" applyAlignment="1">
      <alignment horizontal="centerContinuous"/>
    </xf>
    <xf numFmtId="0" fontId="34" fillId="0" borderId="50" xfId="0" applyFont="1" applyBorder="1" applyAlignment="1">
      <alignment horizontal="center"/>
    </xf>
    <xf numFmtId="0" fontId="34" fillId="0" borderId="41" xfId="0" applyFont="1" applyBorder="1" applyAlignment="1">
      <alignment horizontal="center"/>
    </xf>
    <xf numFmtId="0" fontId="34" fillId="0" borderId="41" xfId="0" applyFont="1" applyFill="1" applyBorder="1" applyAlignment="1">
      <alignment horizontal="centerContinuous"/>
    </xf>
    <xf numFmtId="0" fontId="34" fillId="0" borderId="42" xfId="0" applyFont="1" applyFill="1" applyBorder="1" applyAlignment="1">
      <alignment horizontal="centerContinuous"/>
    </xf>
    <xf numFmtId="0" fontId="34" fillId="2" borderId="41" xfId="0" applyFont="1" applyFill="1" applyBorder="1" applyAlignment="1">
      <alignment horizontal="centerContinuous"/>
    </xf>
    <xf numFmtId="0" fontId="34" fillId="2" borderId="9" xfId="0" applyFont="1" applyFill="1" applyBorder="1" applyAlignment="1">
      <alignment horizontal="centerContinuous"/>
    </xf>
    <xf numFmtId="0" fontId="34" fillId="0" borderId="9" xfId="0" applyFont="1" applyFill="1" applyBorder="1" applyAlignment="1">
      <alignment horizontal="centerContinuous"/>
    </xf>
    <xf numFmtId="0" fontId="34" fillId="0" borderId="43" xfId="0" applyFont="1" applyFill="1" applyBorder="1" applyAlignment="1">
      <alignment horizontal="centerContinuous"/>
    </xf>
    <xf numFmtId="0" fontId="32" fillId="0" borderId="44" xfId="0" applyFont="1" applyBorder="1" applyAlignment="1">
      <alignment horizontal="right" vertical="center" wrapText="1"/>
    </xf>
    <xf numFmtId="0" fontId="32" fillId="0" borderId="45" xfId="0" applyFont="1" applyBorder="1" applyAlignment="1">
      <alignment horizontal="right" vertical="center" wrapText="1"/>
    </xf>
    <xf numFmtId="0" fontId="32" fillId="0" borderId="45" xfId="0" applyFont="1" applyFill="1" applyBorder="1" applyAlignment="1">
      <alignment horizontal="center"/>
    </xf>
    <xf numFmtId="0" fontId="32" fillId="0" borderId="47" xfId="0" applyFont="1" applyFill="1" applyBorder="1" applyAlignment="1">
      <alignment horizontal="center"/>
    </xf>
    <xf numFmtId="0" fontId="32" fillId="2" borderId="45" xfId="0" applyFont="1" applyFill="1" applyBorder="1" applyAlignment="1">
      <alignment horizontal="center"/>
    </xf>
    <xf numFmtId="0" fontId="32" fillId="2" borderId="48" xfId="0" applyFont="1" applyFill="1" applyBorder="1" applyAlignment="1">
      <alignment horizontal="center"/>
    </xf>
    <xf numFmtId="0" fontId="32" fillId="0" borderId="48" xfId="0" applyFont="1" applyFill="1" applyBorder="1" applyAlignment="1">
      <alignment horizontal="center"/>
    </xf>
    <xf numFmtId="49" fontId="32" fillId="0" borderId="49" xfId="0" applyNumberFormat="1" applyFont="1" applyFill="1" applyBorder="1" applyAlignment="1">
      <alignment horizontal="center"/>
    </xf>
    <xf numFmtId="0" fontId="34" fillId="0" borderId="50" xfId="0" applyFont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0" fontId="35" fillId="0" borderId="41" xfId="0" applyFont="1" applyFill="1" applyBorder="1" applyAlignment="1">
      <alignment horizontal="center"/>
    </xf>
    <xf numFmtId="0" fontId="35" fillId="0" borderId="42" xfId="0" applyFont="1" applyFill="1" applyBorder="1" applyAlignment="1">
      <alignment horizontal="center"/>
    </xf>
    <xf numFmtId="3" fontId="35" fillId="2" borderId="41" xfId="0" applyNumberFormat="1" applyFont="1" applyFill="1" applyBorder="1" applyAlignment="1">
      <alignment horizontal="center"/>
    </xf>
    <xf numFmtId="3" fontId="35" fillId="0" borderId="41" xfId="0" applyNumberFormat="1" applyFont="1" applyFill="1" applyBorder="1" applyAlignment="1">
      <alignment horizontal="center"/>
    </xf>
    <xf numFmtId="0" fontId="35" fillId="2" borderId="41" xfId="0" applyFont="1" applyFill="1" applyBorder="1" applyAlignment="1">
      <alignment horizontal="center"/>
    </xf>
    <xf numFmtId="0" fontId="35" fillId="2" borderId="9" xfId="0" applyFont="1" applyFill="1" applyBorder="1" applyAlignment="1">
      <alignment horizontal="center"/>
    </xf>
    <xf numFmtId="0" fontId="35" fillId="0" borderId="9" xfId="0" applyFont="1" applyFill="1" applyBorder="1" applyAlignment="1">
      <alignment horizontal="center"/>
    </xf>
    <xf numFmtId="0" fontId="35" fillId="0" borderId="43" xfId="0" applyFont="1" applyFill="1" applyBorder="1" applyAlignment="1">
      <alignment horizontal="center"/>
    </xf>
    <xf numFmtId="0" fontId="33" fillId="0" borderId="50" xfId="0" applyFont="1" applyBorder="1" applyAlignment="1">
      <alignment horizontal="left" vertical="center"/>
    </xf>
    <xf numFmtId="0" fontId="33" fillId="0" borderId="41" xfId="0" applyFont="1" applyBorder="1" applyAlignment="1">
      <alignment horizontal="left" vertical="center"/>
    </xf>
    <xf numFmtId="0" fontId="32" fillId="0" borderId="50" xfId="0" applyFont="1" applyBorder="1" applyAlignment="1">
      <alignment vertical="center" wrapText="1"/>
    </xf>
    <xf numFmtId="0" fontId="44" fillId="0" borderId="41" xfId="0" applyFont="1" applyBorder="1" applyAlignment="1">
      <alignment vertical="center" wrapText="1"/>
    </xf>
    <xf numFmtId="3" fontId="45" fillId="0" borderId="41" xfId="0" applyNumberFormat="1" applyFont="1" applyFill="1" applyBorder="1"/>
    <xf numFmtId="3" fontId="45" fillId="0" borderId="42" xfId="0" applyNumberFormat="1" applyFont="1" applyFill="1" applyBorder="1"/>
    <xf numFmtId="3" fontId="45" fillId="2" borderId="41" xfId="0" applyNumberFormat="1" applyFont="1" applyFill="1" applyBorder="1"/>
    <xf numFmtId="3" fontId="45" fillId="0" borderId="9" xfId="0" applyNumberFormat="1" applyFont="1" applyFill="1" applyBorder="1"/>
    <xf numFmtId="3" fontId="45" fillId="2" borderId="9" xfId="0" applyNumberFormat="1" applyFont="1" applyFill="1" applyBorder="1"/>
    <xf numFmtId="165" fontId="46" fillId="0" borderId="43" xfId="0" applyNumberFormat="1" applyFont="1" applyFill="1" applyBorder="1"/>
    <xf numFmtId="0" fontId="32" fillId="0" borderId="41" xfId="0" applyFont="1" applyBorder="1" applyAlignment="1">
      <alignment vertical="center" wrapText="1"/>
    </xf>
    <xf numFmtId="3" fontId="32" fillId="0" borderId="41" xfId="0" applyNumberFormat="1" applyFont="1" applyFill="1" applyBorder="1" applyAlignment="1"/>
    <xf numFmtId="3" fontId="32" fillId="0" borderId="42" xfId="0" applyNumberFormat="1" applyFont="1" applyFill="1" applyBorder="1" applyAlignment="1"/>
    <xf numFmtId="3" fontId="32" fillId="0" borderId="41" xfId="0" applyNumberFormat="1" applyFont="1" applyBorder="1" applyAlignment="1"/>
    <xf numFmtId="3" fontId="32" fillId="2" borderId="41" xfId="0" applyNumberFormat="1" applyFont="1" applyFill="1" applyBorder="1" applyAlignment="1"/>
    <xf numFmtId="3" fontId="32" fillId="2" borderId="9" xfId="0" applyNumberFormat="1" applyFont="1" applyFill="1" applyBorder="1" applyAlignment="1"/>
    <xf numFmtId="3" fontId="32" fillId="0" borderId="9" xfId="0" applyNumberFormat="1" applyFont="1" applyFill="1" applyBorder="1" applyAlignment="1"/>
    <xf numFmtId="165" fontId="32" fillId="0" borderId="43" xfId="0" applyNumberFormat="1" applyFont="1" applyFill="1" applyBorder="1" applyAlignment="1"/>
    <xf numFmtId="3" fontId="32" fillId="0" borderId="41" xfId="0" applyNumberFormat="1" applyFont="1" applyFill="1" applyBorder="1"/>
    <xf numFmtId="3" fontId="32" fillId="0" borderId="42" xfId="0" applyNumberFormat="1" applyFont="1" applyFill="1" applyBorder="1"/>
    <xf numFmtId="3" fontId="32" fillId="2" borderId="41" xfId="0" applyNumberFormat="1" applyFont="1" applyFill="1" applyBorder="1"/>
    <xf numFmtId="3" fontId="32" fillId="2" borderId="9" xfId="0" applyNumberFormat="1" applyFont="1" applyFill="1" applyBorder="1"/>
    <xf numFmtId="3" fontId="32" fillId="0" borderId="9" xfId="0" applyNumberFormat="1" applyFont="1" applyFill="1" applyBorder="1"/>
    <xf numFmtId="165" fontId="32" fillId="0" borderId="43" xfId="0" applyNumberFormat="1" applyFont="1" applyFill="1" applyBorder="1"/>
    <xf numFmtId="3" fontId="32" fillId="0" borderId="41" xfId="0" applyNumberFormat="1" applyFont="1" applyBorder="1"/>
    <xf numFmtId="3" fontId="37" fillId="0" borderId="41" xfId="0" applyNumberFormat="1" applyFont="1" applyFill="1" applyBorder="1"/>
    <xf numFmtId="0" fontId="32" fillId="0" borderId="50" xfId="0" applyFont="1" applyBorder="1" applyAlignment="1">
      <alignment horizontal="right" vertical="center" wrapText="1"/>
    </xf>
    <xf numFmtId="0" fontId="32" fillId="0" borderId="41" xfId="0" applyFont="1" applyBorder="1"/>
    <xf numFmtId="3" fontId="32" fillId="0" borderId="41" xfId="0" applyNumberFormat="1" applyFont="1" applyFill="1" applyBorder="1" applyAlignment="1">
      <alignment horizontal="right" wrapText="1"/>
    </xf>
    <xf numFmtId="3" fontId="32" fillId="0" borderId="42" xfId="0" applyNumberFormat="1" applyFont="1" applyFill="1" applyBorder="1" applyAlignment="1">
      <alignment horizontal="right" wrapText="1"/>
    </xf>
    <xf numFmtId="3" fontId="32" fillId="0" borderId="41" xfId="0" applyNumberFormat="1" applyFont="1" applyBorder="1" applyAlignment="1">
      <alignment horizontal="right" wrapText="1"/>
    </xf>
    <xf numFmtId="3" fontId="32" fillId="2" borderId="41" xfId="0" applyNumberFormat="1" applyFont="1" applyFill="1" applyBorder="1" applyAlignment="1">
      <alignment horizontal="right" wrapText="1"/>
    </xf>
    <xf numFmtId="3" fontId="32" fillId="2" borderId="9" xfId="0" applyNumberFormat="1" applyFont="1" applyFill="1" applyBorder="1" applyAlignment="1">
      <alignment horizontal="right" wrapText="1"/>
    </xf>
    <xf numFmtId="3" fontId="32" fillId="0" borderId="9" xfId="0" applyNumberFormat="1" applyFont="1" applyFill="1" applyBorder="1" applyAlignment="1">
      <alignment horizontal="right" wrapText="1"/>
    </xf>
    <xf numFmtId="165" fontId="32" fillId="0" borderId="43" xfId="0" applyNumberFormat="1" applyFont="1" applyFill="1" applyBorder="1" applyAlignment="1">
      <alignment horizontal="right" wrapText="1"/>
    </xf>
    <xf numFmtId="0" fontId="32" fillId="0" borderId="39" xfId="0" applyFont="1" applyBorder="1" applyAlignment="1">
      <alignment vertical="center" wrapText="1"/>
    </xf>
    <xf numFmtId="3" fontId="32" fillId="0" borderId="39" xfId="0" applyNumberFormat="1" applyFont="1" applyFill="1" applyBorder="1"/>
    <xf numFmtId="3" fontId="32" fillId="0" borderId="0" xfId="0" applyNumberFormat="1" applyFont="1" applyFill="1" applyBorder="1"/>
    <xf numFmtId="3" fontId="32" fillId="0" borderId="39" xfId="0" applyNumberFormat="1" applyFont="1" applyBorder="1"/>
    <xf numFmtId="3" fontId="32" fillId="2" borderId="39" xfId="0" applyNumberFormat="1" applyFont="1" applyFill="1" applyBorder="1"/>
    <xf numFmtId="3" fontId="32" fillId="2" borderId="75" xfId="0" applyNumberFormat="1" applyFont="1" applyFill="1" applyBorder="1"/>
    <xf numFmtId="3" fontId="32" fillId="0" borderId="75" xfId="0" applyNumberFormat="1" applyFont="1" applyFill="1" applyBorder="1"/>
    <xf numFmtId="165" fontId="32" fillId="0" borderId="76" xfId="0" applyNumberFormat="1" applyFont="1" applyFill="1" applyBorder="1"/>
    <xf numFmtId="0" fontId="32" fillId="0" borderId="52" xfId="0" applyFont="1" applyBorder="1" applyAlignment="1">
      <alignment vertical="center" wrapText="1"/>
    </xf>
    <xf numFmtId="3" fontId="32" fillId="0" borderId="52" xfId="0" applyNumberFormat="1" applyFont="1" applyFill="1" applyBorder="1" applyAlignment="1">
      <alignment vertical="center"/>
    </xf>
    <xf numFmtId="3" fontId="32" fillId="0" borderId="54" xfId="0" applyNumberFormat="1" applyFont="1" applyFill="1" applyBorder="1" applyAlignment="1">
      <alignment vertical="center"/>
    </xf>
    <xf numFmtId="3" fontId="37" fillId="0" borderId="52" xfId="0" applyNumberFormat="1" applyFont="1" applyFill="1" applyBorder="1" applyAlignment="1">
      <alignment vertical="center"/>
    </xf>
    <xf numFmtId="3" fontId="32" fillId="0" borderId="52" xfId="0" applyNumberFormat="1" applyFont="1" applyBorder="1" applyAlignment="1">
      <alignment vertical="center"/>
    </xf>
    <xf numFmtId="3" fontId="32" fillId="2" borderId="52" xfId="0" applyNumberFormat="1" applyFont="1" applyFill="1" applyBorder="1" applyAlignment="1">
      <alignment vertical="center"/>
    </xf>
    <xf numFmtId="3" fontId="32" fillId="2" borderId="12" xfId="0" applyNumberFormat="1" applyFont="1" applyFill="1" applyBorder="1" applyAlignment="1">
      <alignment vertical="center"/>
    </xf>
    <xf numFmtId="3" fontId="32" fillId="0" borderId="12" xfId="0" applyNumberFormat="1" applyFont="1" applyFill="1" applyBorder="1" applyAlignment="1">
      <alignment vertical="center"/>
    </xf>
    <xf numFmtId="165" fontId="32" fillId="0" borderId="55" xfId="0" applyNumberFormat="1" applyFont="1" applyFill="1" applyBorder="1" applyAlignment="1">
      <alignment vertical="center"/>
    </xf>
    <xf numFmtId="0" fontId="32" fillId="0" borderId="12" xfId="0" applyFont="1" applyBorder="1" applyAlignment="1">
      <alignment vertical="center" wrapText="1"/>
    </xf>
    <xf numFmtId="3" fontId="32" fillId="0" borderId="12" xfId="0" applyNumberFormat="1" applyFont="1" applyFill="1" applyBorder="1" applyAlignment="1">
      <alignment horizontal="right" wrapText="1"/>
    </xf>
    <xf numFmtId="3" fontId="32" fillId="0" borderId="53" xfId="0" applyNumberFormat="1" applyFont="1" applyFill="1" applyBorder="1" applyAlignment="1">
      <alignment horizontal="right" wrapText="1"/>
    </xf>
    <xf numFmtId="3" fontId="32" fillId="0" borderId="52" xfId="0" applyNumberFormat="1" applyFont="1" applyFill="1" applyBorder="1" applyAlignment="1">
      <alignment horizontal="right" wrapText="1"/>
    </xf>
    <xf numFmtId="3" fontId="32" fillId="0" borderId="12" xfId="0" applyNumberFormat="1" applyFont="1" applyBorder="1" applyAlignment="1">
      <alignment horizontal="right" wrapText="1"/>
    </xf>
    <xf numFmtId="3" fontId="32" fillId="2" borderId="12" xfId="0" applyNumberFormat="1" applyFont="1" applyFill="1" applyBorder="1" applyAlignment="1">
      <alignment horizontal="right" wrapText="1"/>
    </xf>
    <xf numFmtId="0" fontId="32" fillId="0" borderId="51" xfId="0" applyFont="1" applyBorder="1" applyAlignment="1">
      <alignment vertical="center" wrapText="1"/>
    </xf>
    <xf numFmtId="0" fontId="32" fillId="0" borderId="52" xfId="0" applyFont="1" applyFill="1" applyBorder="1" applyAlignment="1">
      <alignment vertical="center" wrapText="1"/>
    </xf>
    <xf numFmtId="3" fontId="32" fillId="0" borderId="54" xfId="0" applyNumberFormat="1" applyFont="1" applyFill="1" applyBorder="1" applyAlignment="1">
      <alignment horizontal="right" wrapText="1"/>
    </xf>
    <xf numFmtId="3" fontId="32" fillId="0" borderId="52" xfId="0" applyNumberFormat="1" applyFont="1" applyBorder="1" applyAlignment="1">
      <alignment horizontal="right" wrapText="1"/>
    </xf>
    <xf numFmtId="3" fontId="32" fillId="2" borderId="52" xfId="0" applyNumberFormat="1" applyFont="1" applyFill="1" applyBorder="1" applyAlignment="1">
      <alignment horizontal="right" wrapText="1"/>
    </xf>
    <xf numFmtId="165" fontId="32" fillId="0" borderId="55" xfId="0" applyNumberFormat="1" applyFont="1" applyFill="1" applyBorder="1" applyAlignment="1">
      <alignment horizontal="right" wrapText="1"/>
    </xf>
    <xf numFmtId="0" fontId="32" fillId="0" borderId="77" xfId="0" applyFont="1" applyBorder="1" applyAlignment="1">
      <alignment vertical="center" wrapText="1"/>
    </xf>
    <xf numFmtId="0" fontId="32" fillId="0" borderId="78" xfId="0" applyFont="1" applyBorder="1" applyAlignment="1">
      <alignment vertical="center" wrapText="1"/>
    </xf>
    <xf numFmtId="3" fontId="32" fillId="0" borderId="78" xfId="0" applyNumberFormat="1" applyFont="1" applyFill="1" applyBorder="1" applyAlignment="1">
      <alignment horizontal="right" wrapText="1"/>
    </xf>
    <xf numFmtId="3" fontId="32" fillId="0" borderId="79" xfId="0" applyNumberFormat="1" applyFont="1" applyFill="1" applyBorder="1" applyAlignment="1">
      <alignment horizontal="right" wrapText="1"/>
    </xf>
    <xf numFmtId="3" fontId="32" fillId="2" borderId="78" xfId="0" applyNumberFormat="1" applyFont="1" applyFill="1" applyBorder="1" applyAlignment="1">
      <alignment horizontal="right" wrapText="1"/>
    </xf>
    <xf numFmtId="3" fontId="32" fillId="2" borderId="2" xfId="0" applyNumberFormat="1" applyFont="1" applyFill="1" applyBorder="1" applyAlignment="1">
      <alignment horizontal="right" wrapText="1"/>
    </xf>
    <xf numFmtId="3" fontId="32" fillId="0" borderId="2" xfId="0" applyNumberFormat="1" applyFont="1" applyFill="1" applyBorder="1" applyAlignment="1">
      <alignment horizontal="right" wrapText="1"/>
    </xf>
    <xf numFmtId="165" fontId="32" fillId="0" borderId="80" xfId="0" applyNumberFormat="1" applyFont="1" applyFill="1" applyBorder="1" applyAlignment="1">
      <alignment horizontal="right" wrapText="1"/>
    </xf>
    <xf numFmtId="0" fontId="33" fillId="0" borderId="77" xfId="0" applyFont="1" applyBorder="1" applyAlignment="1">
      <alignment vertical="center" wrapText="1"/>
    </xf>
    <xf numFmtId="0" fontId="39" fillId="0" borderId="78" xfId="0" applyFont="1" applyBorder="1" applyAlignment="1">
      <alignment vertical="center" wrapText="1"/>
    </xf>
    <xf numFmtId="3" fontId="39" fillId="0" borderId="78" xfId="0" applyNumberFormat="1" applyFont="1" applyFill="1" applyBorder="1" applyAlignment="1">
      <alignment horizontal="right" wrapText="1"/>
    </xf>
    <xf numFmtId="3" fontId="39" fillId="0" borderId="79" xfId="0" applyNumberFormat="1" applyFont="1" applyFill="1" applyBorder="1" applyAlignment="1">
      <alignment horizontal="right" wrapText="1"/>
    </xf>
    <xf numFmtId="3" fontId="39" fillId="2" borderId="78" xfId="0" applyNumberFormat="1" applyFont="1" applyFill="1" applyBorder="1" applyAlignment="1">
      <alignment horizontal="right" wrapText="1"/>
    </xf>
    <xf numFmtId="3" fontId="39" fillId="0" borderId="2" xfId="0" applyNumberFormat="1" applyFont="1" applyFill="1" applyBorder="1" applyAlignment="1">
      <alignment horizontal="right" wrapText="1"/>
    </xf>
    <xf numFmtId="3" fontId="39" fillId="2" borderId="2" xfId="0" applyNumberFormat="1" applyFont="1" applyFill="1" applyBorder="1" applyAlignment="1">
      <alignment horizontal="right" wrapText="1"/>
    </xf>
    <xf numFmtId="165" fontId="33" fillId="0" borderId="80" xfId="0" applyNumberFormat="1" applyFont="1" applyFill="1" applyBorder="1" applyAlignment="1">
      <alignment horizontal="right" wrapText="1"/>
    </xf>
    <xf numFmtId="0" fontId="33" fillId="0" borderId="50" xfId="0" applyFont="1" applyBorder="1" applyAlignment="1">
      <alignment vertical="center"/>
    </xf>
    <xf numFmtId="0" fontId="33" fillId="0" borderId="41" xfId="0" applyFont="1" applyBorder="1" applyAlignment="1">
      <alignment vertical="center"/>
    </xf>
    <xf numFmtId="0" fontId="34" fillId="0" borderId="50" xfId="0" applyFont="1" applyBorder="1" applyAlignment="1">
      <alignment vertical="center" wrapText="1"/>
    </xf>
    <xf numFmtId="0" fontId="34" fillId="0" borderId="41" xfId="0" applyFont="1" applyBorder="1" applyAlignment="1">
      <alignment vertical="center" wrapText="1"/>
    </xf>
    <xf numFmtId="0" fontId="34" fillId="0" borderId="77" xfId="0" applyFont="1" applyBorder="1" applyAlignment="1">
      <alignment vertical="center" wrapText="1"/>
    </xf>
    <xf numFmtId="0" fontId="34" fillId="0" borderId="78" xfId="0" applyFont="1" applyBorder="1" applyAlignment="1">
      <alignment vertical="center" wrapText="1"/>
    </xf>
    <xf numFmtId="3" fontId="34" fillId="0" borderId="78" xfId="0" applyNumberFormat="1" applyFont="1" applyFill="1" applyBorder="1" applyAlignment="1">
      <alignment horizontal="right" vertical="center" wrapText="1"/>
    </xf>
    <xf numFmtId="3" fontId="34" fillId="0" borderId="79" xfId="0" applyNumberFormat="1" applyFont="1" applyFill="1" applyBorder="1" applyAlignment="1">
      <alignment horizontal="right" vertical="center" wrapText="1"/>
    </xf>
    <xf numFmtId="3" fontId="34" fillId="2" borderId="78" xfId="0" applyNumberFormat="1" applyFont="1" applyFill="1" applyBorder="1" applyAlignment="1">
      <alignment horizontal="right" vertical="center" wrapText="1"/>
    </xf>
    <xf numFmtId="3" fontId="34" fillId="2" borderId="2" xfId="0" applyNumberFormat="1" applyFont="1" applyFill="1" applyBorder="1" applyAlignment="1">
      <alignment horizontal="right" vertical="center" wrapText="1"/>
    </xf>
    <xf numFmtId="3" fontId="34" fillId="0" borderId="2" xfId="0" applyNumberFormat="1" applyFont="1" applyFill="1" applyBorder="1" applyAlignment="1">
      <alignment horizontal="right" vertical="center" wrapText="1"/>
    </xf>
    <xf numFmtId="165" fontId="32" fillId="0" borderId="80" xfId="0" applyNumberFormat="1" applyFont="1" applyFill="1" applyBorder="1" applyAlignment="1">
      <alignment horizontal="right" vertical="center" wrapText="1"/>
    </xf>
    <xf numFmtId="0" fontId="32" fillId="0" borderId="41" xfId="0" applyFont="1" applyBorder="1" applyAlignment="1">
      <alignment horizontal="justify" vertical="justify" wrapText="1"/>
    </xf>
    <xf numFmtId="3" fontId="32" fillId="0" borderId="41" xfId="0" applyNumberFormat="1" applyFont="1" applyFill="1" applyBorder="1" applyAlignment="1">
      <alignment vertical="center"/>
    </xf>
    <xf numFmtId="3" fontId="32" fillId="0" borderId="42" xfId="0" applyNumberFormat="1" applyFont="1" applyFill="1" applyBorder="1" applyAlignment="1">
      <alignment vertical="center"/>
    </xf>
    <xf numFmtId="3" fontId="37" fillId="0" borderId="41" xfId="0" applyNumberFormat="1" applyFont="1" applyFill="1" applyBorder="1" applyAlignment="1">
      <alignment vertical="center"/>
    </xf>
    <xf numFmtId="3" fontId="32" fillId="0" borderId="41" xfId="0" applyNumberFormat="1" applyFont="1" applyBorder="1" applyAlignment="1">
      <alignment vertical="center"/>
    </xf>
    <xf numFmtId="3" fontId="32" fillId="0" borderId="41" xfId="0" applyNumberFormat="1" applyFont="1" applyFill="1" applyBorder="1" applyAlignment="1">
      <alignment horizontal="right" vertical="center"/>
    </xf>
    <xf numFmtId="3" fontId="32" fillId="2" borderId="41" xfId="0" applyNumberFormat="1" applyFont="1" applyFill="1" applyBorder="1" applyAlignment="1">
      <alignment horizontal="right" vertical="center"/>
    </xf>
    <xf numFmtId="3" fontId="32" fillId="2" borderId="9" xfId="0" applyNumberFormat="1" applyFont="1" applyFill="1" applyBorder="1" applyAlignment="1">
      <alignment horizontal="right" vertical="center"/>
    </xf>
    <xf numFmtId="3" fontId="32" fillId="0" borderId="9" xfId="0" applyNumberFormat="1" applyFont="1" applyFill="1" applyBorder="1" applyAlignment="1">
      <alignment horizontal="right" vertical="center"/>
    </xf>
    <xf numFmtId="3" fontId="32" fillId="0" borderId="42" xfId="0" applyNumberFormat="1" applyFont="1" applyFill="1" applyBorder="1" applyAlignment="1">
      <alignment horizontal="right" vertical="center"/>
    </xf>
    <xf numFmtId="165" fontId="32" fillId="0" borderId="43" xfId="0" applyNumberFormat="1" applyFont="1" applyFill="1" applyBorder="1" applyAlignment="1">
      <alignment horizontal="right" vertical="center"/>
    </xf>
    <xf numFmtId="0" fontId="32" fillId="0" borderId="51" xfId="0" applyFont="1" applyBorder="1" applyAlignment="1">
      <alignment vertical="top" wrapText="1"/>
    </xf>
    <xf numFmtId="0" fontId="32" fillId="0" borderId="12" xfId="0" applyFont="1" applyBorder="1" applyAlignment="1">
      <alignment vertical="top" wrapText="1"/>
    </xf>
    <xf numFmtId="3" fontId="32" fillId="0" borderId="52" xfId="0" applyNumberFormat="1" applyFont="1" applyFill="1" applyBorder="1" applyAlignment="1"/>
    <xf numFmtId="3" fontId="32" fillId="0" borderId="54" xfId="0" applyNumberFormat="1" applyFont="1" applyFill="1" applyBorder="1" applyAlignment="1"/>
    <xf numFmtId="3" fontId="32" fillId="2" borderId="52" xfId="0" applyNumberFormat="1" applyFont="1" applyFill="1" applyBorder="1" applyAlignment="1"/>
    <xf numFmtId="3" fontId="32" fillId="2" borderId="12" xfId="0" applyNumberFormat="1" applyFont="1" applyFill="1" applyBorder="1" applyAlignment="1"/>
    <xf numFmtId="3" fontId="32" fillId="0" borderId="12" xfId="0" applyNumberFormat="1" applyFont="1" applyFill="1" applyBorder="1" applyAlignment="1"/>
    <xf numFmtId="165" fontId="32" fillId="0" borderId="55" xfId="0" applyNumberFormat="1" applyFont="1" applyFill="1" applyBorder="1" applyAlignment="1"/>
    <xf numFmtId="0" fontId="32" fillId="0" borderId="77" xfId="0" applyFont="1" applyBorder="1" applyAlignment="1">
      <alignment vertical="top" wrapText="1"/>
    </xf>
    <xf numFmtId="0" fontId="32" fillId="0" borderId="78" xfId="0" applyFont="1" applyBorder="1" applyAlignment="1">
      <alignment vertical="top" wrapText="1"/>
    </xf>
    <xf numFmtId="3" fontId="32" fillId="0" borderId="78" xfId="0" applyNumberFormat="1" applyFont="1" applyFill="1" applyBorder="1" applyAlignment="1"/>
    <xf numFmtId="3" fontId="32" fillId="0" borderId="79" xfId="0" applyNumberFormat="1" applyFont="1" applyFill="1" applyBorder="1" applyAlignment="1"/>
    <xf numFmtId="3" fontId="32" fillId="2" borderId="78" xfId="0" applyNumberFormat="1" applyFont="1" applyFill="1" applyBorder="1" applyAlignment="1"/>
    <xf numFmtId="3" fontId="32" fillId="2" borderId="2" xfId="0" applyNumberFormat="1" applyFont="1" applyFill="1" applyBorder="1" applyAlignment="1"/>
    <xf numFmtId="3" fontId="32" fillId="0" borderId="2" xfId="0" applyNumberFormat="1" applyFont="1" applyFill="1" applyBorder="1" applyAlignment="1"/>
    <xf numFmtId="165" fontId="32" fillId="0" borderId="80" xfId="0" applyNumberFormat="1" applyFont="1" applyFill="1" applyBorder="1" applyAlignment="1"/>
    <xf numFmtId="3" fontId="34" fillId="0" borderId="78" xfId="0" applyNumberFormat="1" applyFont="1" applyFill="1" applyBorder="1" applyAlignment="1">
      <alignment vertical="center" wrapText="1"/>
    </xf>
    <xf numFmtId="3" fontId="34" fillId="0" borderId="79" xfId="0" applyNumberFormat="1" applyFont="1" applyFill="1" applyBorder="1" applyAlignment="1">
      <alignment vertical="center" wrapText="1"/>
    </xf>
    <xf numFmtId="3" fontId="34" fillId="2" borderId="78" xfId="0" applyNumberFormat="1" applyFont="1" applyFill="1" applyBorder="1" applyAlignment="1">
      <alignment vertical="center" wrapText="1"/>
    </xf>
    <xf numFmtId="3" fontId="34" fillId="0" borderId="2" xfId="0" applyNumberFormat="1" applyFont="1" applyFill="1" applyBorder="1" applyAlignment="1">
      <alignment vertical="center" wrapText="1"/>
    </xf>
    <xf numFmtId="3" fontId="34" fillId="2" borderId="2" xfId="0" applyNumberFormat="1" applyFont="1" applyFill="1" applyBorder="1" applyAlignment="1">
      <alignment vertical="center" wrapText="1"/>
    </xf>
    <xf numFmtId="165" fontId="32" fillId="0" borderId="80" xfId="0" applyNumberFormat="1" applyFont="1" applyFill="1" applyBorder="1" applyAlignment="1">
      <alignment vertical="center"/>
    </xf>
    <xf numFmtId="0" fontId="32" fillId="0" borderId="50" xfId="0" applyFont="1" applyBorder="1" applyAlignment="1">
      <alignment vertical="top" wrapText="1"/>
    </xf>
    <xf numFmtId="0" fontId="32" fillId="0" borderId="41" xfId="0" applyFont="1" applyBorder="1" applyAlignment="1">
      <alignment vertical="top" wrapText="1"/>
    </xf>
    <xf numFmtId="0" fontId="33" fillId="0" borderId="38" xfId="0" applyFont="1" applyFill="1" applyBorder="1" applyAlignment="1">
      <alignment vertical="center" wrapText="1"/>
    </xf>
    <xf numFmtId="0" fontId="33" fillId="0" borderId="39" xfId="0" applyFont="1" applyFill="1" applyBorder="1" applyAlignment="1">
      <alignment vertical="center" wrapText="1"/>
    </xf>
    <xf numFmtId="3" fontId="39" fillId="0" borderId="39" xfId="0" applyNumberFormat="1" applyFont="1" applyFill="1" applyBorder="1" applyAlignment="1"/>
    <xf numFmtId="3" fontId="39" fillId="0" borderId="0" xfId="0" applyNumberFormat="1" applyFont="1" applyFill="1" applyBorder="1" applyAlignment="1"/>
    <xf numFmtId="3" fontId="39" fillId="2" borderId="39" xfId="0" applyNumberFormat="1" applyFont="1" applyFill="1" applyBorder="1" applyAlignment="1"/>
    <xf numFmtId="3" fontId="39" fillId="0" borderId="75" xfId="0" applyNumberFormat="1" applyFont="1" applyFill="1" applyBorder="1" applyAlignment="1"/>
    <xf numFmtId="3" fontId="39" fillId="2" borderId="75" xfId="0" applyNumberFormat="1" applyFont="1" applyFill="1" applyBorder="1" applyAlignment="1"/>
    <xf numFmtId="165" fontId="33" fillId="0" borderId="43" xfId="0" applyNumberFormat="1" applyFont="1" applyFill="1" applyBorder="1" applyAlignment="1">
      <alignment horizontal="right"/>
    </xf>
    <xf numFmtId="0" fontId="36" fillId="0" borderId="62" xfId="0" applyFont="1" applyBorder="1" applyAlignment="1">
      <alignment vertical="center" wrapText="1"/>
    </xf>
    <xf numFmtId="0" fontId="36" fillId="0" borderId="63" xfId="0" applyFont="1" applyBorder="1" applyAlignment="1">
      <alignment vertical="center" wrapText="1"/>
    </xf>
    <xf numFmtId="3" fontId="36" fillId="0" borderId="63" xfId="0" applyNumberFormat="1" applyFont="1" applyFill="1" applyBorder="1"/>
    <xf numFmtId="3" fontId="36" fillId="0" borderId="65" xfId="0" applyNumberFormat="1" applyFont="1" applyFill="1" applyBorder="1"/>
    <xf numFmtId="3" fontId="36" fillId="2" borderId="63" xfId="0" applyNumberFormat="1" applyFont="1" applyFill="1" applyBorder="1"/>
    <xf numFmtId="3" fontId="36" fillId="0" borderId="18" xfId="0" applyNumberFormat="1" applyFont="1" applyFill="1" applyBorder="1"/>
    <xf numFmtId="3" fontId="36" fillId="2" borderId="18" xfId="0" applyNumberFormat="1" applyFont="1" applyFill="1" applyBorder="1"/>
    <xf numFmtId="165" fontId="32" fillId="0" borderId="66" xfId="0" applyNumberFormat="1" applyFont="1" applyFill="1" applyBorder="1"/>
    <xf numFmtId="0" fontId="33" fillId="0" borderId="67" xfId="0" applyFont="1" applyBorder="1" applyAlignment="1">
      <alignment horizontal="left"/>
    </xf>
    <xf numFmtId="0" fontId="33" fillId="0" borderId="68" xfId="0" applyFont="1" applyBorder="1" applyAlignment="1">
      <alignment horizontal="left"/>
    </xf>
    <xf numFmtId="3" fontId="39" fillId="0" borderId="68" xfId="0" applyNumberFormat="1" applyFont="1" applyFill="1" applyBorder="1" applyAlignment="1">
      <alignment horizontal="right" wrapText="1"/>
    </xf>
    <xf numFmtId="3" fontId="39" fillId="0" borderId="81" xfId="0" applyNumberFormat="1" applyFont="1" applyFill="1" applyBorder="1" applyAlignment="1">
      <alignment horizontal="right" wrapText="1"/>
    </xf>
    <xf numFmtId="3" fontId="39" fillId="2" borderId="68" xfId="0" applyNumberFormat="1" applyFont="1" applyFill="1" applyBorder="1" applyAlignment="1">
      <alignment horizontal="right" wrapText="1"/>
    </xf>
    <xf numFmtId="3" fontId="39" fillId="0" borderId="71" xfId="0" applyNumberFormat="1" applyFont="1" applyFill="1" applyBorder="1" applyAlignment="1">
      <alignment horizontal="right" wrapText="1"/>
    </xf>
    <xf numFmtId="3" fontId="39" fillId="2" borderId="71" xfId="0" applyNumberFormat="1" applyFont="1" applyFill="1" applyBorder="1" applyAlignment="1">
      <alignment horizontal="right" wrapText="1"/>
    </xf>
    <xf numFmtId="165" fontId="39" fillId="0" borderId="72" xfId="0" applyNumberFormat="1" applyFont="1" applyFill="1" applyBorder="1" applyAlignment="1">
      <alignment horizontal="right" wrapText="1"/>
    </xf>
    <xf numFmtId="0" fontId="32" fillId="0" borderId="0" xfId="0" applyFont="1"/>
    <xf numFmtId="0" fontId="40" fillId="0" borderId="0" xfId="0" applyFont="1" applyBorder="1" applyAlignment="1">
      <alignment horizontal="left" vertical="center" wrapText="1"/>
    </xf>
    <xf numFmtId="0" fontId="38" fillId="0" borderId="0" xfId="0" applyFont="1" applyFill="1" applyBorder="1" applyAlignment="1">
      <alignment horizontal="right" wrapText="1"/>
    </xf>
    <xf numFmtId="0" fontId="38" fillId="2" borderId="0" xfId="0" applyFont="1" applyFill="1" applyBorder="1" applyAlignment="1">
      <alignment horizontal="right" wrapText="1"/>
    </xf>
    <xf numFmtId="0" fontId="38" fillId="0" borderId="74" xfId="0" applyFont="1" applyFill="1" applyBorder="1" applyAlignment="1">
      <alignment horizontal="right" wrapText="1"/>
    </xf>
    <xf numFmtId="0" fontId="38" fillId="0" borderId="0" xfId="0" applyFont="1"/>
    <xf numFmtId="0" fontId="38" fillId="0" borderId="0" xfId="0" applyFont="1" applyFill="1" applyBorder="1"/>
    <xf numFmtId="3" fontId="38" fillId="0" borderId="0" xfId="0" applyNumberFormat="1" applyFont="1" applyFill="1" applyBorder="1"/>
    <xf numFmtId="0" fontId="38" fillId="2" borderId="0" xfId="0" applyFont="1" applyFill="1" applyBorder="1"/>
    <xf numFmtId="0" fontId="38" fillId="0" borderId="0" xfId="0" applyFont="1" applyAlignment="1"/>
    <xf numFmtId="0" fontId="38" fillId="0" borderId="0" xfId="0" applyFont="1" applyFill="1" applyAlignment="1"/>
    <xf numFmtId="0" fontId="34" fillId="0" borderId="0" xfId="0" applyFont="1" applyBorder="1" applyAlignment="1"/>
    <xf numFmtId="164" fontId="34" fillId="3" borderId="0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Continuous"/>
    </xf>
    <xf numFmtId="0" fontId="34" fillId="2" borderId="0" xfId="0" applyFont="1" applyFill="1" applyBorder="1" applyAlignment="1">
      <alignment horizontal="centerContinuous"/>
    </xf>
    <xf numFmtId="0" fontId="34" fillId="0" borderId="58" xfId="0" applyFont="1" applyBorder="1"/>
    <xf numFmtId="164" fontId="34" fillId="0" borderId="60" xfId="0" applyNumberFormat="1" applyFont="1" applyBorder="1"/>
    <xf numFmtId="164" fontId="34" fillId="0" borderId="58" xfId="0" applyNumberFormat="1" applyFont="1" applyBorder="1"/>
    <xf numFmtId="3" fontId="34" fillId="0" borderId="57" xfId="0" applyNumberFormat="1" applyFont="1" applyBorder="1"/>
    <xf numFmtId="3" fontId="34" fillId="0" borderId="60" xfId="0" applyNumberFormat="1" applyFont="1" applyBorder="1"/>
    <xf numFmtId="3" fontId="34" fillId="2" borderId="60" xfId="0" applyNumberFormat="1" applyFont="1" applyFill="1" applyBorder="1"/>
    <xf numFmtId="3" fontId="34" fillId="0" borderId="60" xfId="0" applyNumberFormat="1" applyFont="1" applyFill="1" applyBorder="1"/>
    <xf numFmtId="3" fontId="34" fillId="0" borderId="0" xfId="0" applyNumberFormat="1" applyFont="1" applyFill="1" applyBorder="1"/>
    <xf numFmtId="165" fontId="32" fillId="0" borderId="52" xfId="0" applyNumberFormat="1" applyFont="1" applyBorder="1" applyAlignment="1">
      <alignment vertical="center" wrapText="1"/>
    </xf>
    <xf numFmtId="165" fontId="32" fillId="0" borderId="54" xfId="0" applyNumberFormat="1" applyFont="1" applyBorder="1" applyAlignment="1">
      <alignment vertical="center" wrapText="1"/>
    </xf>
    <xf numFmtId="165" fontId="32" fillId="0" borderId="53" xfId="0" applyNumberFormat="1" applyFont="1" applyBorder="1" applyAlignment="1">
      <alignment vertical="center" wrapText="1"/>
    </xf>
    <xf numFmtId="165" fontId="32" fillId="2" borderId="52" xfId="0" applyNumberFormat="1" applyFont="1" applyFill="1" applyBorder="1" applyAlignment="1">
      <alignment vertical="center" wrapText="1"/>
    </xf>
    <xf numFmtId="165" fontId="32" fillId="0" borderId="52" xfId="0" applyNumberFormat="1" applyFont="1" applyFill="1" applyBorder="1" applyAlignment="1">
      <alignment vertical="center" wrapText="1"/>
    </xf>
    <xf numFmtId="165" fontId="32" fillId="0" borderId="0" xfId="0" applyNumberFormat="1" applyFont="1" applyBorder="1" applyAlignment="1">
      <alignment vertical="center" wrapText="1"/>
    </xf>
    <xf numFmtId="0" fontId="32" fillId="0" borderId="9" xfId="0" applyFont="1" applyBorder="1" applyAlignment="1">
      <alignment vertical="center" wrapText="1"/>
    </xf>
    <xf numFmtId="165" fontId="32" fillId="0" borderId="41" xfId="0" applyNumberFormat="1" applyFont="1" applyBorder="1" applyAlignment="1">
      <alignment vertical="center" wrapText="1"/>
    </xf>
    <xf numFmtId="165" fontId="32" fillId="0" borderId="42" xfId="0" applyNumberFormat="1" applyFont="1" applyBorder="1" applyAlignment="1">
      <alignment vertical="center" wrapText="1"/>
    </xf>
    <xf numFmtId="165" fontId="32" fillId="0" borderId="40" xfId="0" applyNumberFormat="1" applyFont="1" applyBorder="1" applyAlignment="1">
      <alignment vertical="center" wrapText="1"/>
    </xf>
    <xf numFmtId="165" fontId="32" fillId="2" borderId="41" xfId="0" applyNumberFormat="1" applyFont="1" applyFill="1" applyBorder="1" applyAlignment="1">
      <alignment vertical="center" wrapText="1"/>
    </xf>
    <xf numFmtId="165" fontId="32" fillId="0" borderId="41" xfId="0" applyNumberFormat="1" applyFont="1" applyFill="1" applyBorder="1" applyAlignment="1">
      <alignment vertical="center" wrapText="1"/>
    </xf>
    <xf numFmtId="165" fontId="32" fillId="0" borderId="39" xfId="0" applyNumberFormat="1" applyFont="1" applyFill="1" applyBorder="1"/>
    <xf numFmtId="165" fontId="32" fillId="0" borderId="0" xfId="0" applyNumberFormat="1" applyFont="1" applyFill="1" applyBorder="1"/>
    <xf numFmtId="165" fontId="32" fillId="0" borderId="73" xfId="0" applyNumberFormat="1" applyFont="1" applyFill="1" applyBorder="1"/>
    <xf numFmtId="165" fontId="32" fillId="2" borderId="39" xfId="0" applyNumberFormat="1" applyFont="1" applyFill="1" applyBorder="1"/>
    <xf numFmtId="0" fontId="34" fillId="0" borderId="9" xfId="0" applyFont="1" applyBorder="1" applyAlignment="1">
      <alignment vertical="center" wrapText="1"/>
    </xf>
    <xf numFmtId="3" fontId="34" fillId="0" borderId="52" xfId="0" applyNumberFormat="1" applyFont="1" applyFill="1" applyBorder="1"/>
    <xf numFmtId="3" fontId="34" fillId="0" borderId="54" xfId="0" applyNumberFormat="1" applyFont="1" applyFill="1" applyBorder="1"/>
    <xf numFmtId="3" fontId="34" fillId="0" borderId="53" xfId="0" applyNumberFormat="1" applyFont="1" applyFill="1" applyBorder="1"/>
    <xf numFmtId="3" fontId="34" fillId="2" borderId="52" xfId="0" applyNumberFormat="1" applyFont="1" applyFill="1" applyBorder="1"/>
    <xf numFmtId="3" fontId="50" fillId="2" borderId="52" xfId="0" applyNumberFormat="1" applyFont="1" applyFill="1" applyBorder="1"/>
    <xf numFmtId="3" fontId="50" fillId="0" borderId="52" xfId="0" applyNumberFormat="1" applyFont="1" applyFill="1" applyBorder="1"/>
    <xf numFmtId="3" fontId="34" fillId="0" borderId="0" xfId="0" applyNumberFormat="1" applyFont="1" applyBorder="1"/>
    <xf numFmtId="165" fontId="32" fillId="0" borderId="42" xfId="0" applyNumberFormat="1" applyFont="1" applyFill="1" applyBorder="1" applyAlignment="1">
      <alignment vertical="center" wrapText="1"/>
    </xf>
    <xf numFmtId="165" fontId="32" fillId="0" borderId="40" xfId="0" applyNumberFormat="1" applyFont="1" applyFill="1" applyBorder="1" applyAlignment="1">
      <alignment vertical="center" wrapText="1"/>
    </xf>
    <xf numFmtId="164" fontId="32" fillId="0" borderId="0" xfId="0" applyNumberFormat="1" applyFont="1" applyBorder="1" applyAlignment="1">
      <alignment vertical="center" wrapText="1"/>
    </xf>
    <xf numFmtId="0" fontId="32" fillId="0" borderId="0" xfId="0" applyFont="1" applyBorder="1" applyAlignment="1">
      <alignment vertical="center" wrapText="1"/>
    </xf>
    <xf numFmtId="0" fontId="34" fillId="0" borderId="12" xfId="0" applyFont="1" applyBorder="1" applyAlignment="1">
      <alignment vertical="center" wrapText="1"/>
    </xf>
    <xf numFmtId="0" fontId="32" fillId="0" borderId="0" xfId="0" applyFont="1" applyBorder="1"/>
    <xf numFmtId="0" fontId="32" fillId="2" borderId="0" xfId="0" applyFont="1" applyFill="1"/>
    <xf numFmtId="0" fontId="32" fillId="0" borderId="0" xfId="0" applyFont="1" applyFill="1"/>
    <xf numFmtId="0" fontId="38" fillId="0" borderId="0" xfId="0" applyFont="1" applyFill="1" applyBorder="1" applyAlignment="1">
      <alignment vertical="center"/>
    </xf>
    <xf numFmtId="3" fontId="32" fillId="0" borderId="0" xfId="0" applyNumberFormat="1" applyFont="1" applyFill="1"/>
    <xf numFmtId="3" fontId="32" fillId="2" borderId="0" xfId="0" applyNumberFormat="1" applyFont="1" applyFill="1"/>
    <xf numFmtId="3" fontId="32" fillId="0" borderId="60" xfId="0" applyNumberFormat="1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3" fontId="32" fillId="2" borderId="60" xfId="0" applyNumberFormat="1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165" fontId="32" fillId="0" borderId="61" xfId="0" applyNumberFormat="1" applyFont="1" applyFill="1" applyBorder="1" applyAlignment="1">
      <alignment vertical="center"/>
    </xf>
    <xf numFmtId="165" fontId="32" fillId="0" borderId="43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79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82" xfId="0" applyFont="1" applyBorder="1" applyAlignment="1">
      <alignment horizontal="center" vertical="center" wrapText="1"/>
    </xf>
    <xf numFmtId="0" fontId="5" fillId="0" borderId="83" xfId="0" applyFont="1" applyBorder="1" applyAlignment="1">
      <alignment horizontal="center" vertical="center" wrapText="1"/>
    </xf>
    <xf numFmtId="0" fontId="5" fillId="0" borderId="8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center" vertical="center" wrapText="1"/>
    </xf>
    <xf numFmtId="164" fontId="20" fillId="0" borderId="29" xfId="5" applyNumberFormat="1" applyFont="1" applyBorder="1" applyAlignment="1">
      <alignment vertical="center" wrapText="1"/>
    </xf>
    <xf numFmtId="0" fontId="10" fillId="0" borderId="28" xfId="5" applyFont="1" applyBorder="1" applyAlignment="1">
      <alignment horizontal="left" vertical="center" wrapText="1"/>
    </xf>
    <xf numFmtId="0" fontId="10" fillId="0" borderId="27" xfId="5" applyFont="1" applyBorder="1" applyAlignment="1">
      <alignment horizontal="left" vertical="center" wrapText="1"/>
    </xf>
    <xf numFmtId="164" fontId="10" fillId="0" borderId="27" xfId="5" applyNumberFormat="1" applyFont="1" applyBorder="1" applyAlignment="1">
      <alignment vertical="center" wrapText="1"/>
    </xf>
    <xf numFmtId="164" fontId="10" fillId="0" borderId="32" xfId="5" applyNumberFormat="1" applyFont="1" applyBorder="1" applyAlignment="1">
      <alignment vertical="center" wrapText="1"/>
    </xf>
    <xf numFmtId="164" fontId="10" fillId="0" borderId="28" xfId="5" applyNumberFormat="1" applyFont="1" applyBorder="1" applyAlignment="1">
      <alignment vertical="center" wrapText="1"/>
    </xf>
    <xf numFmtId="0" fontId="15" fillId="0" borderId="0" xfId="5" applyFont="1" applyBorder="1" applyAlignment="1">
      <alignment horizontal="center" vertical="center"/>
    </xf>
    <xf numFmtId="0" fontId="17" fillId="0" borderId="27" xfId="5" applyFont="1" applyBorder="1" applyAlignment="1">
      <alignment horizontal="center" vertical="center" wrapText="1"/>
    </xf>
    <xf numFmtId="0" fontId="17" fillId="0" borderId="32" xfId="5" applyFont="1" applyBorder="1" applyAlignment="1">
      <alignment horizontal="center" vertical="center" wrapText="1"/>
    </xf>
    <xf numFmtId="0" fontId="20" fillId="0" borderId="29" xfId="5" applyFont="1" applyBorder="1" applyAlignment="1">
      <alignment horizontal="left" vertical="center" wrapText="1"/>
    </xf>
    <xf numFmtId="0" fontId="21" fillId="0" borderId="0" xfId="5" applyFont="1" applyBorder="1" applyAlignment="1">
      <alignment horizontal="left" vertical="center" wrapText="1"/>
    </xf>
    <xf numFmtId="0" fontId="10" fillId="0" borderId="32" xfId="5" applyFont="1" applyBorder="1" applyAlignment="1">
      <alignment horizontal="left" vertical="center" wrapText="1"/>
    </xf>
    <xf numFmtId="0" fontId="20" fillId="0" borderId="28" xfId="5" applyFont="1" applyBorder="1" applyAlignment="1">
      <alignment horizontal="left" vertical="center" wrapText="1"/>
    </xf>
    <xf numFmtId="164" fontId="20" fillId="0" borderId="28" xfId="5" applyNumberFormat="1" applyFont="1" applyBorder="1" applyAlignment="1">
      <alignment vertical="center" wrapText="1"/>
    </xf>
    <xf numFmtId="0" fontId="17" fillId="0" borderId="22" xfId="5" applyFont="1" applyBorder="1" applyAlignment="1">
      <alignment horizontal="center" vertical="center" wrapText="1"/>
    </xf>
    <xf numFmtId="0" fontId="17" fillId="0" borderId="24" xfId="5" applyFont="1" applyBorder="1" applyAlignment="1">
      <alignment horizontal="center" vertical="center" wrapText="1"/>
    </xf>
    <xf numFmtId="0" fontId="17" fillId="0" borderId="25" xfId="5" applyFont="1" applyBorder="1" applyAlignment="1">
      <alignment horizontal="center" vertical="center" wrapText="1"/>
    </xf>
    <xf numFmtId="0" fontId="17" fillId="0" borderId="87" xfId="5" applyFont="1" applyBorder="1" applyAlignment="1">
      <alignment horizontal="center" vertical="center" wrapText="1"/>
    </xf>
    <xf numFmtId="0" fontId="17" fillId="0" borderId="88" xfId="5" applyFont="1" applyBorder="1" applyAlignment="1">
      <alignment horizontal="center" vertical="center" wrapText="1"/>
    </xf>
    <xf numFmtId="0" fontId="17" fillId="0" borderId="89" xfId="5" applyFont="1" applyBorder="1" applyAlignment="1">
      <alignment horizontal="center" vertical="center" wrapText="1"/>
    </xf>
    <xf numFmtId="0" fontId="17" fillId="0" borderId="29" xfId="5" applyFont="1" applyBorder="1" applyAlignment="1">
      <alignment horizontal="center" vertical="center" wrapText="1"/>
    </xf>
    <xf numFmtId="0" fontId="17" fillId="0" borderId="26" xfId="5" applyFont="1" applyBorder="1" applyAlignment="1">
      <alignment horizontal="center" vertical="center" wrapText="1"/>
    </xf>
    <xf numFmtId="164" fontId="10" fillId="0" borderId="28" xfId="5" applyNumberFormat="1" applyFont="1" applyBorder="1" applyAlignment="1">
      <alignment vertical="top" wrapText="1"/>
    </xf>
    <xf numFmtId="0" fontId="10" fillId="0" borderId="27" xfId="5" applyFont="1" applyBorder="1" applyAlignment="1">
      <alignment horizontal="left" vertical="top" wrapText="1"/>
    </xf>
    <xf numFmtId="164" fontId="10" fillId="0" borderId="27" xfId="5" applyNumberFormat="1" applyFont="1" applyBorder="1" applyAlignment="1">
      <alignment vertical="top" wrapText="1"/>
    </xf>
    <xf numFmtId="0" fontId="10" fillId="0" borderId="28" xfId="5" applyFont="1" applyBorder="1" applyAlignment="1">
      <alignment horizontal="left" vertical="top" wrapText="1"/>
    </xf>
    <xf numFmtId="0" fontId="15" fillId="0" borderId="0" xfId="5" applyFont="1" applyBorder="1" applyAlignment="1">
      <alignment horizontal="center" vertical="top"/>
    </xf>
    <xf numFmtId="0" fontId="17" fillId="0" borderId="27" xfId="5" applyFont="1" applyBorder="1" applyAlignment="1">
      <alignment horizontal="center" vertical="top" wrapText="1" readingOrder="1"/>
    </xf>
    <xf numFmtId="0" fontId="17" fillId="0" borderId="32" xfId="5" applyFont="1" applyBorder="1" applyAlignment="1">
      <alignment horizontal="center" vertical="top" wrapText="1" readingOrder="1"/>
    </xf>
    <xf numFmtId="0" fontId="17" fillId="0" borderId="29" xfId="5" applyFont="1" applyBorder="1" applyAlignment="1">
      <alignment horizontal="center" vertical="top" wrapText="1"/>
    </xf>
    <xf numFmtId="0" fontId="20" fillId="0" borderId="29" xfId="5" applyFont="1" applyBorder="1" applyAlignment="1">
      <alignment horizontal="left" vertical="top" wrapText="1"/>
    </xf>
    <xf numFmtId="164" fontId="20" fillId="0" borderId="29" xfId="5" applyNumberFormat="1" applyFont="1" applyBorder="1" applyAlignment="1">
      <alignment vertical="top" wrapText="1"/>
    </xf>
    <xf numFmtId="0" fontId="20" fillId="0" borderId="28" xfId="5" applyFont="1" applyBorder="1" applyAlignment="1">
      <alignment horizontal="left" vertical="top" wrapText="1"/>
    </xf>
    <xf numFmtId="164" fontId="20" fillId="0" borderId="28" xfId="5" applyNumberFormat="1" applyFont="1" applyBorder="1" applyAlignment="1">
      <alignment vertical="top" wrapText="1"/>
    </xf>
    <xf numFmtId="0" fontId="10" fillId="0" borderId="29" xfId="5" applyFont="1" applyBorder="1" applyAlignment="1">
      <alignment horizontal="left" vertical="top" wrapText="1"/>
    </xf>
    <xf numFmtId="0" fontId="21" fillId="0" borderId="0" xfId="5" applyFont="1" applyBorder="1" applyAlignment="1">
      <alignment horizontal="left" vertical="top" wrapText="1"/>
    </xf>
    <xf numFmtId="0" fontId="10" fillId="0" borderId="32" xfId="5" applyFont="1" applyBorder="1" applyAlignment="1">
      <alignment horizontal="left" vertical="top" wrapText="1"/>
    </xf>
    <xf numFmtId="164" fontId="10" fillId="0" borderId="32" xfId="5" applyNumberFormat="1" applyFont="1" applyBorder="1" applyAlignment="1">
      <alignment vertical="top" wrapText="1"/>
    </xf>
    <xf numFmtId="0" fontId="27" fillId="0" borderId="28" xfId="5" applyFont="1" applyBorder="1" applyAlignment="1">
      <alignment horizontal="left" vertical="center" wrapText="1"/>
    </xf>
    <xf numFmtId="164" fontId="27" fillId="0" borderId="28" xfId="5" applyNumberFormat="1" applyFont="1" applyBorder="1" applyAlignment="1">
      <alignment vertical="center" wrapText="1"/>
    </xf>
    <xf numFmtId="0" fontId="12" fillId="0" borderId="0" xfId="5" applyFont="1" applyAlignment="1">
      <alignment horizontal="right" vertical="center" wrapText="1"/>
    </xf>
    <xf numFmtId="0" fontId="27" fillId="0" borderId="32" xfId="5" applyFont="1" applyBorder="1" applyAlignment="1">
      <alignment horizontal="left" vertical="center" wrapText="1"/>
    </xf>
    <xf numFmtId="164" fontId="27" fillId="0" borderId="32" xfId="5" applyNumberFormat="1" applyFont="1" applyBorder="1" applyAlignment="1">
      <alignment vertical="center" wrapText="1"/>
    </xf>
    <xf numFmtId="0" fontId="27" fillId="0" borderId="29" xfId="5" applyFont="1" applyBorder="1" applyAlignment="1">
      <alignment horizontal="left" vertical="center" wrapText="1"/>
    </xf>
    <xf numFmtId="0" fontId="28" fillId="0" borderId="27" xfId="5" applyFont="1" applyBorder="1" applyAlignment="1">
      <alignment horizontal="left" vertical="center" wrapText="1"/>
    </xf>
    <xf numFmtId="164" fontId="28" fillId="0" borderId="27" xfId="5" applyNumberFormat="1" applyFont="1" applyBorder="1" applyAlignment="1">
      <alignment vertical="center" wrapText="1"/>
    </xf>
    <xf numFmtId="0" fontId="12" fillId="0" borderId="0" xfId="5" applyFont="1" applyAlignment="1">
      <alignment horizontal="left" vertical="center" wrapText="1"/>
    </xf>
    <xf numFmtId="0" fontId="29" fillId="0" borderId="0" xfId="5" applyFont="1" applyBorder="1" applyAlignment="1">
      <alignment horizontal="left" vertical="center" wrapText="1"/>
    </xf>
    <xf numFmtId="0" fontId="30" fillId="0" borderId="0" xfId="5" applyFont="1" applyAlignment="1">
      <alignment horizontal="right" vertical="center" wrapText="1"/>
    </xf>
    <xf numFmtId="164" fontId="28" fillId="0" borderId="28" xfId="5" applyNumberFormat="1" applyFont="1" applyBorder="1" applyAlignment="1">
      <alignment vertical="center" wrapText="1"/>
    </xf>
    <xf numFmtId="0" fontId="28" fillId="0" borderId="28" xfId="5" applyFont="1" applyBorder="1" applyAlignment="1">
      <alignment horizontal="left" vertical="center" wrapText="1"/>
    </xf>
    <xf numFmtId="164" fontId="27" fillId="0" borderId="29" xfId="5" applyNumberFormat="1" applyFont="1" applyBorder="1" applyAlignment="1">
      <alignment vertical="center" wrapText="1"/>
    </xf>
    <xf numFmtId="0" fontId="28" fillId="0" borderId="29" xfId="5" applyFont="1" applyBorder="1" applyAlignment="1">
      <alignment horizontal="left" vertical="center" wrapText="1"/>
    </xf>
    <xf numFmtId="164" fontId="28" fillId="0" borderId="29" xfId="5" applyNumberFormat="1" applyFont="1" applyBorder="1" applyAlignment="1">
      <alignment vertical="center" wrapText="1"/>
    </xf>
    <xf numFmtId="0" fontId="27" fillId="0" borderId="27" xfId="5" applyFont="1" applyBorder="1" applyAlignment="1">
      <alignment horizontal="left" vertical="center" wrapText="1"/>
    </xf>
    <xf numFmtId="164" fontId="27" fillId="0" borderId="27" xfId="5" applyNumberFormat="1" applyFont="1" applyBorder="1" applyAlignment="1">
      <alignment vertical="center" wrapText="1"/>
    </xf>
    <xf numFmtId="44" fontId="22" fillId="0" borderId="0" xfId="1" applyFont="1" applyBorder="1" applyAlignment="1">
      <alignment horizontal="center" vertical="center"/>
    </xf>
    <xf numFmtId="0" fontId="24" fillId="0" borderId="27" xfId="5" applyFont="1" applyBorder="1" applyAlignment="1">
      <alignment horizontal="center" vertical="center" wrapText="1"/>
    </xf>
    <xf numFmtId="0" fontId="24" fillId="0" borderId="32" xfId="5" applyFont="1" applyBorder="1" applyAlignment="1">
      <alignment horizontal="center" vertical="center" wrapText="1"/>
    </xf>
    <xf numFmtId="0" fontId="24" fillId="0" borderId="29" xfId="5" applyFont="1" applyBorder="1" applyAlignment="1">
      <alignment horizontal="center" vertical="center" wrapText="1"/>
    </xf>
  </cellXfs>
  <cellStyles count="6">
    <cellStyle name="měny" xfId="1" builtinId="4"/>
    <cellStyle name="normální" xfId="0" builtinId="0"/>
    <cellStyle name="Normální 2" xfId="2"/>
    <cellStyle name="Normální 3" xfId="3"/>
    <cellStyle name="normální_MandV_2013_PSP-2-VLÁDA" xfId="4"/>
    <cellStyle name="normální_Tabulky - bilance potřeb a zdrojů_2013 listopad_vláda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D101"/>
  <sheetViews>
    <sheetView zoomScaleNormal="100" workbookViewId="0">
      <pane xSplit="4" ySplit="10" topLeftCell="E86" activePane="bottomRight" state="frozen"/>
      <selection pane="topRight" activeCell="E1" sqref="E1"/>
      <selection pane="bottomLeft" activeCell="A10" sqref="A10"/>
      <selection pane="bottomRight" activeCell="J38" sqref="J38"/>
    </sheetView>
  </sheetViews>
  <sheetFormatPr defaultColWidth="10.6640625" defaultRowHeight="12.75"/>
  <cols>
    <col min="1" max="1" width="2.5" style="280" customWidth="1"/>
    <col min="2" max="2" width="0" style="280" hidden="1" customWidth="1"/>
    <col min="3" max="3" width="5.1640625" style="280" customWidth="1"/>
    <col min="4" max="4" width="60" style="280" customWidth="1"/>
    <col min="5" max="6" width="12" style="280" customWidth="1"/>
    <col min="7" max="7" width="1.1640625" style="280" customWidth="1"/>
    <col min="8" max="8" width="12" style="280" customWidth="1"/>
    <col min="9" max="9" width="2.33203125" style="280" customWidth="1"/>
    <col min="10" max="10" width="12" style="280" customWidth="1"/>
    <col min="11" max="12" width="11.1640625" style="280" customWidth="1"/>
    <col min="13" max="13" width="11.83203125" style="280" hidden="1" customWidth="1"/>
    <col min="14" max="14" width="11.83203125" style="114" hidden="1" customWidth="1"/>
    <col min="15" max="16" width="11.83203125" style="280" customWidth="1"/>
    <col min="17" max="17" width="11.83203125" style="113" hidden="1" customWidth="1"/>
    <col min="18" max="18" width="11.83203125" style="113" customWidth="1"/>
    <col min="19" max="19" width="11.83203125" style="113" hidden="1" customWidth="1"/>
    <col min="20" max="20" width="11.83203125" style="113" customWidth="1"/>
    <col min="21" max="21" width="11.83203125" style="113" hidden="1" customWidth="1"/>
    <col min="22" max="22" width="11.83203125" style="113" customWidth="1"/>
    <col min="23" max="23" width="11.83203125" style="113" hidden="1" customWidth="1"/>
    <col min="24" max="24" width="11.83203125" style="113" customWidth="1"/>
    <col min="25" max="25" width="11.83203125" style="113" hidden="1" customWidth="1"/>
    <col min="26" max="27" width="11.83203125" style="113" customWidth="1"/>
    <col min="28" max="28" width="13.33203125" style="280" customWidth="1"/>
    <col min="29" max="29" width="2.83203125" style="280" customWidth="1"/>
    <col min="30" max="16384" width="10.6640625" style="280"/>
  </cols>
  <sheetData>
    <row r="2" spans="2:29">
      <c r="J2" s="281"/>
      <c r="L2" s="281"/>
      <c r="AB2" s="280" t="s">
        <v>217</v>
      </c>
    </row>
    <row r="3" spans="2:29" ht="15.75">
      <c r="D3" s="282" t="s">
        <v>218</v>
      </c>
      <c r="E3" s="283"/>
      <c r="F3" s="283"/>
      <c r="G3" s="283"/>
      <c r="H3" s="283"/>
      <c r="I3" s="283"/>
      <c r="J3" s="284"/>
      <c r="K3" s="283"/>
      <c r="L3" s="283"/>
      <c r="M3" s="283"/>
      <c r="N3" s="118"/>
      <c r="O3" s="283"/>
      <c r="P3" s="283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283"/>
      <c r="AC3" s="283"/>
    </row>
    <row r="4" spans="2:29" ht="13.5" thickBot="1"/>
    <row r="5" spans="2:29" ht="13.5" thickTop="1">
      <c r="C5" s="300" t="s">
        <v>181</v>
      </c>
      <c r="D5" s="301"/>
      <c r="E5" s="302">
        <v>2000</v>
      </c>
      <c r="F5" s="303">
        <v>2001</v>
      </c>
      <c r="G5" s="302"/>
      <c r="H5" s="303">
        <v>2002</v>
      </c>
      <c r="I5" s="302"/>
      <c r="J5" s="304">
        <v>2003</v>
      </c>
      <c r="K5" s="304">
        <v>2004</v>
      </c>
      <c r="L5" s="304">
        <v>2005</v>
      </c>
      <c r="M5" s="305">
        <v>2005</v>
      </c>
      <c r="N5" s="305">
        <v>2006</v>
      </c>
      <c r="O5" s="302">
        <v>2006</v>
      </c>
      <c r="P5" s="302">
        <v>2007</v>
      </c>
      <c r="Q5" s="306">
        <v>2007</v>
      </c>
      <c r="R5" s="307">
        <v>2008</v>
      </c>
      <c r="S5" s="308">
        <v>2008</v>
      </c>
      <c r="T5" s="307">
        <v>2009</v>
      </c>
      <c r="U5" s="308">
        <v>2009</v>
      </c>
      <c r="V5" s="307">
        <v>2010</v>
      </c>
      <c r="W5" s="309">
        <v>2010</v>
      </c>
      <c r="X5" s="307">
        <v>2011</v>
      </c>
      <c r="Y5" s="309">
        <v>2011</v>
      </c>
      <c r="Z5" s="310">
        <v>2012</v>
      </c>
      <c r="AA5" s="311">
        <v>2013</v>
      </c>
      <c r="AB5" s="312" t="s">
        <v>182</v>
      </c>
      <c r="AC5" s="285"/>
    </row>
    <row r="6" spans="2:29">
      <c r="C6" s="313"/>
      <c r="D6" s="314" t="s">
        <v>183</v>
      </c>
      <c r="E6" s="315" t="s">
        <v>184</v>
      </c>
      <c r="F6" s="316" t="s">
        <v>184</v>
      </c>
      <c r="G6" s="317"/>
      <c r="H6" s="318" t="s">
        <v>184</v>
      </c>
      <c r="I6" s="317"/>
      <c r="J6" s="319" t="s">
        <v>184</v>
      </c>
      <c r="K6" s="319" t="s">
        <v>184</v>
      </c>
      <c r="L6" s="319" t="s">
        <v>184</v>
      </c>
      <c r="M6" s="320" t="s">
        <v>186</v>
      </c>
      <c r="N6" s="320" t="s">
        <v>186</v>
      </c>
      <c r="O6" s="317" t="s">
        <v>184</v>
      </c>
      <c r="P6" s="317" t="s">
        <v>184</v>
      </c>
      <c r="Q6" s="321" t="s">
        <v>186</v>
      </c>
      <c r="R6" s="322" t="s">
        <v>184</v>
      </c>
      <c r="S6" s="323" t="s">
        <v>186</v>
      </c>
      <c r="T6" s="322" t="s">
        <v>187</v>
      </c>
      <c r="U6" s="323" t="s">
        <v>186</v>
      </c>
      <c r="V6" s="322" t="s">
        <v>187</v>
      </c>
      <c r="W6" s="324" t="s">
        <v>186</v>
      </c>
      <c r="X6" s="322" t="s">
        <v>187</v>
      </c>
      <c r="Y6" s="324" t="s">
        <v>186</v>
      </c>
      <c r="Z6" s="325" t="s">
        <v>186</v>
      </c>
      <c r="AA6" s="322" t="s">
        <v>186</v>
      </c>
      <c r="AB6" s="326" t="s">
        <v>33</v>
      </c>
      <c r="AC6" s="286"/>
    </row>
    <row r="7" spans="2:29">
      <c r="C7" s="327"/>
      <c r="D7" s="328"/>
      <c r="E7" s="329"/>
      <c r="F7" s="330"/>
      <c r="G7" s="329"/>
      <c r="H7" s="330"/>
      <c r="I7" s="329"/>
      <c r="J7" s="329"/>
      <c r="K7" s="329"/>
      <c r="L7" s="329"/>
      <c r="M7" s="331"/>
      <c r="N7" s="331"/>
      <c r="O7" s="329"/>
      <c r="P7" s="329"/>
      <c r="Q7" s="331"/>
      <c r="R7" s="329"/>
      <c r="S7" s="331"/>
      <c r="T7" s="329"/>
      <c r="U7" s="332"/>
      <c r="V7" s="329"/>
      <c r="W7" s="332"/>
      <c r="X7" s="329"/>
      <c r="Y7" s="332"/>
      <c r="Z7" s="333"/>
      <c r="AA7" s="330"/>
      <c r="AB7" s="334"/>
      <c r="AC7" s="126"/>
    </row>
    <row r="8" spans="2:29" ht="13.5" thickBot="1">
      <c r="C8" s="335"/>
      <c r="D8" s="336" t="s">
        <v>34</v>
      </c>
      <c r="E8" s="337">
        <v>1</v>
      </c>
      <c r="F8" s="338">
        <v>2</v>
      </c>
      <c r="G8" s="337"/>
      <c r="H8" s="338">
        <v>3</v>
      </c>
      <c r="I8" s="337"/>
      <c r="J8" s="337">
        <v>4</v>
      </c>
      <c r="K8" s="337">
        <v>5</v>
      </c>
      <c r="L8" s="337">
        <v>6</v>
      </c>
      <c r="M8" s="339"/>
      <c r="N8" s="339"/>
      <c r="O8" s="337">
        <v>7</v>
      </c>
      <c r="P8" s="337">
        <v>8</v>
      </c>
      <c r="Q8" s="339"/>
      <c r="R8" s="337">
        <v>9</v>
      </c>
      <c r="S8" s="339"/>
      <c r="T8" s="337">
        <v>10</v>
      </c>
      <c r="U8" s="340"/>
      <c r="V8" s="337">
        <v>11</v>
      </c>
      <c r="W8" s="340"/>
      <c r="X8" s="337">
        <v>12</v>
      </c>
      <c r="Y8" s="340"/>
      <c r="Z8" s="341">
        <v>13</v>
      </c>
      <c r="AA8" s="337">
        <v>14</v>
      </c>
      <c r="AB8" s="342" t="s">
        <v>188</v>
      </c>
      <c r="AC8" s="286"/>
    </row>
    <row r="9" spans="2:29" ht="13.5" thickTop="1">
      <c r="B9" s="280">
        <v>1</v>
      </c>
      <c r="C9" s="343"/>
      <c r="D9" s="344"/>
      <c r="E9" s="345"/>
      <c r="F9" s="346"/>
      <c r="G9" s="345"/>
      <c r="H9" s="346"/>
      <c r="I9" s="345"/>
      <c r="J9" s="345"/>
      <c r="K9" s="345"/>
      <c r="L9" s="345"/>
      <c r="M9" s="347"/>
      <c r="N9" s="347"/>
      <c r="O9" s="348"/>
      <c r="P9" s="348"/>
      <c r="Q9" s="349"/>
      <c r="R9" s="345"/>
      <c r="S9" s="349"/>
      <c r="T9" s="345"/>
      <c r="U9" s="350"/>
      <c r="V9" s="351"/>
      <c r="W9" s="350"/>
      <c r="X9" s="351"/>
      <c r="Y9" s="350"/>
      <c r="Z9" s="351"/>
      <c r="AA9" s="346"/>
      <c r="AB9" s="352"/>
      <c r="AC9" s="153"/>
    </row>
    <row r="10" spans="2:29" ht="15.75">
      <c r="B10" s="280">
        <v>1</v>
      </c>
      <c r="C10" s="353"/>
      <c r="D10" s="354" t="s">
        <v>219</v>
      </c>
      <c r="E10" s="345"/>
      <c r="F10" s="346"/>
      <c r="G10" s="345"/>
      <c r="H10" s="346"/>
      <c r="I10" s="345"/>
      <c r="J10" s="345"/>
      <c r="K10" s="345"/>
      <c r="L10" s="345"/>
      <c r="M10" s="347"/>
      <c r="N10" s="347"/>
      <c r="O10" s="348"/>
      <c r="P10" s="348"/>
      <c r="Q10" s="349"/>
      <c r="R10" s="345"/>
      <c r="S10" s="349"/>
      <c r="T10" s="345"/>
      <c r="U10" s="350"/>
      <c r="V10" s="351"/>
      <c r="W10" s="350"/>
      <c r="X10" s="351"/>
      <c r="Y10" s="350"/>
      <c r="Z10" s="351"/>
      <c r="AA10" s="346"/>
      <c r="AB10" s="352"/>
      <c r="AC10" s="153"/>
    </row>
    <row r="11" spans="2:29" ht="27">
      <c r="B11" s="280">
        <v>1</v>
      </c>
      <c r="C11" s="355">
        <v>1</v>
      </c>
      <c r="D11" s="356" t="s">
        <v>220</v>
      </c>
      <c r="E11" s="357">
        <f>SUM(E12:E19)</f>
        <v>267332</v>
      </c>
      <c r="F11" s="358">
        <f>SUM(F12:F19)</f>
        <v>285089</v>
      </c>
      <c r="G11" s="357"/>
      <c r="H11" s="358">
        <f>SUM(H12:H19)</f>
        <v>305232</v>
      </c>
      <c r="I11" s="357"/>
      <c r="J11" s="357">
        <f>SUM(J12:J19)</f>
        <v>322140</v>
      </c>
      <c r="K11" s="357">
        <f>SUM(K12:K19)</f>
        <v>330934</v>
      </c>
      <c r="L11" s="357">
        <f>SUM(L12:L19)</f>
        <v>343502</v>
      </c>
      <c r="M11" s="359">
        <f>SUM(M12:M19)</f>
        <v>342084</v>
      </c>
      <c r="N11" s="359">
        <f>SUM(N12:N19)</f>
        <v>362598</v>
      </c>
      <c r="O11" s="357">
        <f t="shared" ref="O11:AA11" si="0">SUM(O12:O21)</f>
        <v>372954</v>
      </c>
      <c r="P11" s="357">
        <f t="shared" si="0"/>
        <v>413243</v>
      </c>
      <c r="Q11" s="359">
        <f t="shared" si="0"/>
        <v>416365</v>
      </c>
      <c r="R11" s="357">
        <f t="shared" si="0"/>
        <v>429217</v>
      </c>
      <c r="S11" s="359">
        <f t="shared" si="0"/>
        <v>421960</v>
      </c>
      <c r="T11" s="360">
        <f t="shared" si="0"/>
        <v>458842</v>
      </c>
      <c r="U11" s="361">
        <f t="shared" si="0"/>
        <v>449260</v>
      </c>
      <c r="V11" s="360">
        <f t="shared" si="0"/>
        <v>461426</v>
      </c>
      <c r="W11" s="361">
        <f>SUM(W12:W21)</f>
        <v>463220</v>
      </c>
      <c r="X11" s="360">
        <f t="shared" si="0"/>
        <v>474379</v>
      </c>
      <c r="Y11" s="361">
        <f t="shared" si="0"/>
        <v>476160</v>
      </c>
      <c r="Z11" s="360">
        <f t="shared" si="0"/>
        <v>496851</v>
      </c>
      <c r="AA11" s="357">
        <f t="shared" si="0"/>
        <v>505686</v>
      </c>
      <c r="AB11" s="362">
        <f>IF(Z11=0," ",IF(Z11&gt;0,ROUND(AA11/Z11*100,1)))</f>
        <v>101.8</v>
      </c>
      <c r="AC11" s="287"/>
    </row>
    <row r="12" spans="2:29" ht="15.75">
      <c r="B12" s="280">
        <v>1</v>
      </c>
      <c r="C12" s="355">
        <v>2</v>
      </c>
      <c r="D12" s="363" t="s">
        <v>286</v>
      </c>
      <c r="E12" s="364">
        <v>186852</v>
      </c>
      <c r="F12" s="365">
        <v>201110</v>
      </c>
      <c r="G12" s="364"/>
      <c r="H12" s="365">
        <f>213676-28</f>
        <v>213648</v>
      </c>
      <c r="I12" s="364"/>
      <c r="J12" s="366">
        <v>225833</v>
      </c>
      <c r="K12" s="364">
        <v>230897</v>
      </c>
      <c r="L12" s="364">
        <v>247390</v>
      </c>
      <c r="M12" s="367">
        <f>245976+7-400</f>
        <v>245583</v>
      </c>
      <c r="N12" s="367">
        <f>264006-500</f>
        <v>263506</v>
      </c>
      <c r="O12" s="364">
        <v>272911</v>
      </c>
      <c r="P12" s="364">
        <v>289855</v>
      </c>
      <c r="Q12" s="367">
        <f>288329-950</f>
        <v>287379</v>
      </c>
      <c r="R12" s="364">
        <v>312532</v>
      </c>
      <c r="S12" s="367">
        <f>305896-300</f>
        <v>305596</v>
      </c>
      <c r="T12" s="364">
        <v>339788</v>
      </c>
      <c r="U12" s="368">
        <v>336573</v>
      </c>
      <c r="V12" s="369">
        <v>346213</v>
      </c>
      <c r="W12" s="368">
        <f>354097-6874-1000</f>
        <v>346223</v>
      </c>
      <c r="X12" s="369">
        <v>368069</v>
      </c>
      <c r="Y12" s="368">
        <v>363970</v>
      </c>
      <c r="Z12" s="369">
        <f>382658-150</f>
        <v>382508</v>
      </c>
      <c r="AA12" s="365">
        <v>394126</v>
      </c>
      <c r="AB12" s="370">
        <f t="shared" ref="AB12:AB68" si="1">IF(Z12=0," ",IF(Z12&gt;0,ROUND(AA12/Z12*100,1)))</f>
        <v>103</v>
      </c>
      <c r="AC12" s="288"/>
    </row>
    <row r="13" spans="2:29">
      <c r="B13" s="280">
        <v>1</v>
      </c>
      <c r="C13" s="355">
        <v>3</v>
      </c>
      <c r="D13" s="363" t="s">
        <v>221</v>
      </c>
      <c r="E13" s="371">
        <v>27289</v>
      </c>
      <c r="F13" s="372">
        <v>29683</v>
      </c>
      <c r="G13" s="371"/>
      <c r="H13" s="372">
        <f>32763-35+4</f>
        <v>32732</v>
      </c>
      <c r="I13" s="371"/>
      <c r="J13" s="371">
        <v>34437</v>
      </c>
      <c r="K13" s="371">
        <v>29718</v>
      </c>
      <c r="L13" s="371">
        <v>31835</v>
      </c>
      <c r="M13" s="373">
        <f>31864-1993-597</f>
        <v>29274</v>
      </c>
      <c r="N13" s="373">
        <f>31991-1069</f>
        <v>30922</v>
      </c>
      <c r="O13" s="371">
        <v>32974</v>
      </c>
      <c r="P13" s="371">
        <v>34870</v>
      </c>
      <c r="Q13" s="373">
        <f>35680-3008</f>
        <v>32672</v>
      </c>
      <c r="R13" s="371">
        <v>32072</v>
      </c>
      <c r="S13" s="373">
        <v>29023</v>
      </c>
      <c r="T13" s="371">
        <v>26233</v>
      </c>
      <c r="U13" s="374">
        <f>29221-154</f>
        <v>29067</v>
      </c>
      <c r="V13" s="375">
        <v>22996</v>
      </c>
      <c r="W13" s="374">
        <f>28602-4020-800</f>
        <v>23782</v>
      </c>
      <c r="X13" s="375">
        <v>21734</v>
      </c>
      <c r="Y13" s="374">
        <v>21927</v>
      </c>
      <c r="Z13" s="375">
        <v>22863</v>
      </c>
      <c r="AA13" s="372">
        <f>21686-1300</f>
        <v>20386</v>
      </c>
      <c r="AB13" s="376">
        <f t="shared" si="1"/>
        <v>89.2</v>
      </c>
      <c r="AC13" s="289"/>
    </row>
    <row r="14" spans="2:29" ht="15.75">
      <c r="B14" s="280">
        <v>1</v>
      </c>
      <c r="C14" s="355">
        <v>4</v>
      </c>
      <c r="D14" s="363" t="s">
        <v>287</v>
      </c>
      <c r="E14" s="371">
        <v>31855</v>
      </c>
      <c r="F14" s="372">
        <v>31943</v>
      </c>
      <c r="G14" s="371"/>
      <c r="H14" s="372">
        <v>33733</v>
      </c>
      <c r="I14" s="371"/>
      <c r="J14" s="377">
        <v>32275</v>
      </c>
      <c r="K14" s="371">
        <v>32786</v>
      </c>
      <c r="L14" s="371">
        <v>33046</v>
      </c>
      <c r="M14" s="373">
        <f>35520-500</f>
        <v>35020</v>
      </c>
      <c r="N14" s="373">
        <f>34429-600</f>
        <v>33829</v>
      </c>
      <c r="O14" s="371">
        <v>34123</v>
      </c>
      <c r="P14" s="371">
        <v>48617</v>
      </c>
      <c r="Q14" s="373">
        <f>50002+4437</f>
        <v>54439</v>
      </c>
      <c r="R14" s="371">
        <v>41970</v>
      </c>
      <c r="S14" s="373">
        <v>45702</v>
      </c>
      <c r="T14" s="371">
        <v>41168</v>
      </c>
      <c r="U14" s="374">
        <f>43754+2746-2100</f>
        <v>44400</v>
      </c>
      <c r="V14" s="375">
        <v>40880</v>
      </c>
      <c r="W14" s="374">
        <f>40933+1700-483-577-3</f>
        <v>41570</v>
      </c>
      <c r="X14" s="375">
        <v>36094</v>
      </c>
      <c r="Y14" s="374">
        <f>34753+3500</f>
        <v>38253</v>
      </c>
      <c r="Z14" s="375">
        <f>31990+5920</f>
        <v>37910</v>
      </c>
      <c r="AA14" s="372">
        <f>31263+347+5300</f>
        <v>36910</v>
      </c>
      <c r="AB14" s="376">
        <f t="shared" si="1"/>
        <v>97.4</v>
      </c>
      <c r="AC14" s="289"/>
    </row>
    <row r="15" spans="2:29">
      <c r="B15" s="280">
        <v>1</v>
      </c>
      <c r="C15" s="355">
        <v>5</v>
      </c>
      <c r="D15" s="363" t="s">
        <v>222</v>
      </c>
      <c r="E15" s="371">
        <v>4380</v>
      </c>
      <c r="F15" s="372">
        <f>4891-1</f>
        <v>4890</v>
      </c>
      <c r="G15" s="371"/>
      <c r="H15" s="372">
        <f>3806+1612+75</f>
        <v>5493</v>
      </c>
      <c r="I15" s="378"/>
      <c r="J15" s="371">
        <v>5573</v>
      </c>
      <c r="K15" s="371">
        <v>12860</v>
      </c>
      <c r="L15" s="371">
        <v>6713</v>
      </c>
      <c r="M15" s="373">
        <f>37700-29871</f>
        <v>7829</v>
      </c>
      <c r="N15" s="373">
        <v>7530</v>
      </c>
      <c r="O15" s="371">
        <v>7159</v>
      </c>
      <c r="P15" s="371">
        <v>6048</v>
      </c>
      <c r="Q15" s="373">
        <v>5909</v>
      </c>
      <c r="R15" s="371">
        <v>7258</v>
      </c>
      <c r="S15" s="373">
        <f>6652</f>
        <v>6652</v>
      </c>
      <c r="T15" s="371">
        <v>7107</v>
      </c>
      <c r="U15" s="374">
        <f>6948+19</f>
        <v>6967</v>
      </c>
      <c r="V15" s="375">
        <v>7502</v>
      </c>
      <c r="W15" s="374">
        <v>7942</v>
      </c>
      <c r="X15" s="375">
        <v>7855</v>
      </c>
      <c r="Y15" s="374">
        <v>8007</v>
      </c>
      <c r="Z15" s="375">
        <f>8442+4-150</f>
        <v>8296</v>
      </c>
      <c r="AA15" s="372">
        <f>9035-300</f>
        <v>8735</v>
      </c>
      <c r="AB15" s="376">
        <f t="shared" si="1"/>
        <v>105.3</v>
      </c>
      <c r="AC15" s="289"/>
    </row>
    <row r="16" spans="2:29">
      <c r="B16" s="280">
        <v>1</v>
      </c>
      <c r="C16" s="355">
        <v>6</v>
      </c>
      <c r="D16" s="363" t="s">
        <v>223</v>
      </c>
      <c r="E16" s="371">
        <v>5680</v>
      </c>
      <c r="F16" s="372">
        <v>5229</v>
      </c>
      <c r="G16" s="371"/>
      <c r="H16" s="372">
        <v>6210</v>
      </c>
      <c r="I16" s="378"/>
      <c r="J16" s="377">
        <v>6949</v>
      </c>
      <c r="K16" s="371">
        <v>7030</v>
      </c>
      <c r="L16" s="371">
        <v>7047</v>
      </c>
      <c r="M16" s="373">
        <f>8500-1000</f>
        <v>7500</v>
      </c>
      <c r="N16" s="373">
        <v>7300</v>
      </c>
      <c r="O16" s="371">
        <v>7308</v>
      </c>
      <c r="P16" s="371">
        <v>7016</v>
      </c>
      <c r="Q16" s="373">
        <f>7300-73</f>
        <v>7227</v>
      </c>
      <c r="R16" s="371">
        <v>7115</v>
      </c>
      <c r="S16" s="373">
        <f>7200-200</f>
        <v>7000</v>
      </c>
      <c r="T16" s="371">
        <v>15078</v>
      </c>
      <c r="U16" s="374">
        <f>6000-1000</f>
        <v>5000</v>
      </c>
      <c r="V16" s="375">
        <v>13355</v>
      </c>
      <c r="W16" s="374">
        <f>17000-2700</f>
        <v>14300</v>
      </c>
      <c r="X16" s="375">
        <v>10349</v>
      </c>
      <c r="Y16" s="374">
        <v>14300</v>
      </c>
      <c r="Z16" s="375">
        <v>12480</v>
      </c>
      <c r="AA16" s="372">
        <f>11300-1500</f>
        <v>9800</v>
      </c>
      <c r="AB16" s="376">
        <f t="shared" si="1"/>
        <v>78.5</v>
      </c>
      <c r="AC16" s="289"/>
    </row>
    <row r="17" spans="2:29">
      <c r="C17" s="355">
        <v>7</v>
      </c>
      <c r="D17" s="363" t="s">
        <v>224</v>
      </c>
      <c r="E17" s="371"/>
      <c r="F17" s="372">
        <v>169</v>
      </c>
      <c r="G17" s="371"/>
      <c r="H17" s="372">
        <v>186</v>
      </c>
      <c r="I17" s="371"/>
      <c r="J17" s="377">
        <v>194</v>
      </c>
      <c r="K17" s="371">
        <v>133</v>
      </c>
      <c r="L17" s="371">
        <v>147</v>
      </c>
      <c r="M17" s="373">
        <v>250</v>
      </c>
      <c r="N17" s="373">
        <v>300</v>
      </c>
      <c r="O17" s="371">
        <v>184</v>
      </c>
      <c r="P17" s="371">
        <v>196</v>
      </c>
      <c r="Q17" s="373">
        <v>300</v>
      </c>
      <c r="R17" s="371">
        <v>150</v>
      </c>
      <c r="S17" s="373">
        <v>200</v>
      </c>
      <c r="T17" s="371">
        <v>844</v>
      </c>
      <c r="U17" s="374">
        <v>220</v>
      </c>
      <c r="V17" s="375">
        <v>498</v>
      </c>
      <c r="W17" s="374">
        <v>516</v>
      </c>
      <c r="X17" s="375">
        <v>389</v>
      </c>
      <c r="Y17" s="374">
        <v>700</v>
      </c>
      <c r="Z17" s="375">
        <v>600</v>
      </c>
      <c r="AA17" s="372">
        <v>500</v>
      </c>
      <c r="AB17" s="376">
        <f t="shared" si="1"/>
        <v>83.3</v>
      </c>
      <c r="AC17" s="289"/>
    </row>
    <row r="18" spans="2:29" ht="15.75">
      <c r="C18" s="379" t="s">
        <v>225</v>
      </c>
      <c r="D18" s="363" t="s">
        <v>288</v>
      </c>
      <c r="E18" s="371"/>
      <c r="F18" s="372"/>
      <c r="G18" s="371"/>
      <c r="H18" s="372"/>
      <c r="I18" s="371"/>
      <c r="J18" s="371">
        <v>2731</v>
      </c>
      <c r="K18" s="371">
        <v>3193</v>
      </c>
      <c r="L18" s="371">
        <v>3128</v>
      </c>
      <c r="M18" s="373">
        <f>2651+660</f>
        <v>3311</v>
      </c>
      <c r="N18" s="373">
        <f>2400+811</f>
        <v>3211</v>
      </c>
      <c r="O18" s="371">
        <v>3621</v>
      </c>
      <c r="P18" s="371">
        <v>4198</v>
      </c>
      <c r="Q18" s="373">
        <f>1312+2070+60</f>
        <v>3442</v>
      </c>
      <c r="R18" s="371">
        <v>4119</v>
      </c>
      <c r="S18" s="373">
        <f>1820+1820</f>
        <v>3640</v>
      </c>
      <c r="T18" s="371">
        <v>3976</v>
      </c>
      <c r="U18" s="374">
        <f>2350+1795</f>
        <v>4145</v>
      </c>
      <c r="V18" s="375">
        <v>4279</v>
      </c>
      <c r="W18" s="374">
        <f>2500+1708</f>
        <v>4208</v>
      </c>
      <c r="X18" s="375">
        <v>4591</v>
      </c>
      <c r="Y18" s="374">
        <f>2600+1523</f>
        <v>4123</v>
      </c>
      <c r="Z18" s="375">
        <f>3113+1558</f>
        <v>4671</v>
      </c>
      <c r="AA18" s="372">
        <f>3212+1200+1+500</f>
        <v>4913</v>
      </c>
      <c r="AB18" s="376">
        <f t="shared" si="1"/>
        <v>105.2</v>
      </c>
      <c r="AC18" s="289"/>
    </row>
    <row r="19" spans="2:29">
      <c r="B19" s="280">
        <v>1</v>
      </c>
      <c r="C19" s="355">
        <v>8</v>
      </c>
      <c r="D19" s="363" t="s">
        <v>226</v>
      </c>
      <c r="E19" s="371">
        <v>11276</v>
      </c>
      <c r="F19" s="372">
        <v>12065</v>
      </c>
      <c r="G19" s="371"/>
      <c r="H19" s="372">
        <f>1692+11890-352</f>
        <v>13230</v>
      </c>
      <c r="I19" s="371"/>
      <c r="J19" s="377">
        <v>14148</v>
      </c>
      <c r="K19" s="371">
        <v>14317</v>
      </c>
      <c r="L19" s="371">
        <v>14196</v>
      </c>
      <c r="M19" s="373">
        <f>14317-1000</f>
        <v>13317</v>
      </c>
      <c r="N19" s="373">
        <v>16000</v>
      </c>
      <c r="O19" s="371">
        <v>14674</v>
      </c>
      <c r="P19" s="371"/>
      <c r="Q19" s="373"/>
      <c r="R19" s="371"/>
      <c r="S19" s="373"/>
      <c r="T19" s="371"/>
      <c r="U19" s="374"/>
      <c r="V19" s="375"/>
      <c r="W19" s="374"/>
      <c r="X19" s="375"/>
      <c r="Y19" s="374"/>
      <c r="Z19" s="375"/>
      <c r="AA19" s="372"/>
      <c r="AB19" s="376" t="str">
        <f t="shared" si="1"/>
        <v xml:space="preserve"> </v>
      </c>
      <c r="AC19" s="289"/>
    </row>
    <row r="20" spans="2:29" ht="25.5">
      <c r="C20" s="379" t="s">
        <v>227</v>
      </c>
      <c r="D20" s="363" t="s">
        <v>228</v>
      </c>
      <c r="E20" s="371"/>
      <c r="F20" s="372"/>
      <c r="G20" s="371"/>
      <c r="H20" s="372"/>
      <c r="I20" s="371"/>
      <c r="J20" s="377"/>
      <c r="K20" s="371"/>
      <c r="L20" s="371"/>
      <c r="M20" s="373"/>
      <c r="N20" s="373"/>
      <c r="O20" s="371"/>
      <c r="P20" s="371">
        <v>7482</v>
      </c>
      <c r="Q20" s="373">
        <f>16542-362</f>
        <v>16180</v>
      </c>
      <c r="R20" s="371">
        <v>5523</v>
      </c>
      <c r="S20" s="373">
        <v>12059</v>
      </c>
      <c r="T20" s="371">
        <f>5751</f>
        <v>5751</v>
      </c>
      <c r="U20" s="374">
        <v>7300</v>
      </c>
      <c r="V20" s="375">
        <v>5903</v>
      </c>
      <c r="W20" s="374">
        <f>6800-621</f>
        <v>6179</v>
      </c>
      <c r="X20" s="375">
        <v>7057</v>
      </c>
      <c r="Y20" s="374">
        <f>3+7110</f>
        <v>7113</v>
      </c>
      <c r="Z20" s="375">
        <f>5560+1970+3</f>
        <v>7533</v>
      </c>
      <c r="AA20" s="372">
        <f>12400+2326-4900</f>
        <v>9826</v>
      </c>
      <c r="AB20" s="376">
        <f t="shared" si="1"/>
        <v>130.4</v>
      </c>
      <c r="AC20" s="289"/>
    </row>
    <row r="21" spans="2:29" ht="25.5">
      <c r="C21" s="379" t="s">
        <v>229</v>
      </c>
      <c r="D21" s="363" t="s">
        <v>230</v>
      </c>
      <c r="E21" s="371"/>
      <c r="F21" s="372"/>
      <c r="G21" s="371"/>
      <c r="H21" s="372"/>
      <c r="I21" s="371"/>
      <c r="J21" s="377"/>
      <c r="K21" s="371"/>
      <c r="L21" s="371"/>
      <c r="M21" s="373"/>
      <c r="N21" s="373"/>
      <c r="O21" s="371"/>
      <c r="P21" s="371">
        <v>14961</v>
      </c>
      <c r="Q21" s="373">
        <v>8817</v>
      </c>
      <c r="R21" s="371">
        <v>18478</v>
      </c>
      <c r="S21" s="373">
        <f>12088</f>
        <v>12088</v>
      </c>
      <c r="T21" s="371">
        <v>18897</v>
      </c>
      <c r="U21" s="374">
        <v>15588</v>
      </c>
      <c r="V21" s="375">
        <v>19800</v>
      </c>
      <c r="W21" s="374">
        <v>18500</v>
      </c>
      <c r="X21" s="375">
        <v>18241</v>
      </c>
      <c r="Y21" s="374">
        <v>17767</v>
      </c>
      <c r="Z21" s="375">
        <f>19990</f>
        <v>19990</v>
      </c>
      <c r="AA21" s="372">
        <v>20490</v>
      </c>
      <c r="AB21" s="376">
        <f t="shared" si="1"/>
        <v>102.5</v>
      </c>
      <c r="AC21" s="289"/>
    </row>
    <row r="22" spans="2:29" ht="6" customHeight="1">
      <c r="C22" s="355"/>
      <c r="D22" s="363"/>
      <c r="E22" s="371"/>
      <c r="F22" s="372"/>
      <c r="G22" s="371"/>
      <c r="H22" s="372"/>
      <c r="I22" s="371"/>
      <c r="J22" s="377"/>
      <c r="K22" s="371"/>
      <c r="L22" s="371"/>
      <c r="M22" s="373"/>
      <c r="N22" s="373"/>
      <c r="O22" s="371"/>
      <c r="P22" s="371"/>
      <c r="Q22" s="373"/>
      <c r="R22" s="371"/>
      <c r="S22" s="373"/>
      <c r="T22" s="371"/>
      <c r="U22" s="374"/>
      <c r="V22" s="375"/>
      <c r="W22" s="374"/>
      <c r="X22" s="375"/>
      <c r="Y22" s="374"/>
      <c r="Z22" s="375"/>
      <c r="AA22" s="372"/>
      <c r="AB22" s="376" t="str">
        <f t="shared" si="1"/>
        <v xml:space="preserve"> </v>
      </c>
      <c r="AC22" s="289"/>
    </row>
    <row r="23" spans="2:29">
      <c r="B23" s="280">
        <v>1</v>
      </c>
      <c r="C23" s="355">
        <v>9</v>
      </c>
      <c r="D23" s="363" t="s">
        <v>231</v>
      </c>
      <c r="E23" s="371">
        <v>2412</v>
      </c>
      <c r="F23" s="372">
        <v>2617</v>
      </c>
      <c r="G23" s="371"/>
      <c r="H23" s="372">
        <v>2745</v>
      </c>
      <c r="I23" s="371"/>
      <c r="J23" s="377">
        <v>2882</v>
      </c>
      <c r="K23" s="371">
        <v>3124</v>
      </c>
      <c r="L23" s="371">
        <v>3573</v>
      </c>
      <c r="M23" s="373">
        <v>3250</v>
      </c>
      <c r="N23" s="373">
        <f>4100-125</f>
        <v>3975</v>
      </c>
      <c r="O23" s="371">
        <v>4038</v>
      </c>
      <c r="P23" s="371">
        <v>4527</v>
      </c>
      <c r="Q23" s="373">
        <v>4500</v>
      </c>
      <c r="R23" s="371">
        <v>4992</v>
      </c>
      <c r="S23" s="373">
        <v>5100</v>
      </c>
      <c r="T23" s="371">
        <v>5296</v>
      </c>
      <c r="U23" s="374">
        <v>6400</v>
      </c>
      <c r="V23" s="375">
        <v>5474</v>
      </c>
      <c r="W23" s="374">
        <v>6500</v>
      </c>
      <c r="X23" s="375">
        <v>5588</v>
      </c>
      <c r="Y23" s="374">
        <v>6100</v>
      </c>
      <c r="Z23" s="375">
        <v>6200</v>
      </c>
      <c r="AA23" s="372">
        <v>6500</v>
      </c>
      <c r="AB23" s="376">
        <f t="shared" si="1"/>
        <v>104.8</v>
      </c>
      <c r="AC23" s="289"/>
    </row>
    <row r="24" spans="2:29">
      <c r="B24" s="280">
        <v>1</v>
      </c>
      <c r="C24" s="355">
        <v>10</v>
      </c>
      <c r="D24" s="363" t="s">
        <v>232</v>
      </c>
      <c r="E24" s="371">
        <v>27464</v>
      </c>
      <c r="F24" s="372">
        <v>29026</v>
      </c>
      <c r="G24" s="371"/>
      <c r="H24" s="372">
        <v>30561</v>
      </c>
      <c r="I24" s="371"/>
      <c r="J24" s="377">
        <v>32493</v>
      </c>
      <c r="K24" s="371">
        <v>33377</v>
      </c>
      <c r="L24" s="371">
        <v>33732</v>
      </c>
      <c r="M24" s="373">
        <v>33969</v>
      </c>
      <c r="N24" s="373">
        <v>36264</v>
      </c>
      <c r="O24" s="371">
        <v>42998</v>
      </c>
      <c r="P24" s="371">
        <v>47459</v>
      </c>
      <c r="Q24" s="373">
        <f>48144-950</f>
        <v>47194</v>
      </c>
      <c r="R24" s="371">
        <v>47253</v>
      </c>
      <c r="S24" s="373">
        <f>47728+1</f>
        <v>47729</v>
      </c>
      <c r="T24" s="371">
        <v>48673</v>
      </c>
      <c r="U24" s="374">
        <v>47404</v>
      </c>
      <c r="V24" s="375">
        <v>52700</v>
      </c>
      <c r="W24" s="374">
        <f>56639-4540</f>
        <v>52099</v>
      </c>
      <c r="X24" s="375">
        <v>52717</v>
      </c>
      <c r="Y24" s="374">
        <v>52997</v>
      </c>
      <c r="Z24" s="375">
        <v>52924</v>
      </c>
      <c r="AA24" s="372">
        <v>53184</v>
      </c>
      <c r="AB24" s="376">
        <f t="shared" si="1"/>
        <v>100.5</v>
      </c>
      <c r="AC24" s="289"/>
    </row>
    <row r="25" spans="2:29">
      <c r="B25" s="280">
        <v>1</v>
      </c>
      <c r="C25" s="355">
        <v>11</v>
      </c>
      <c r="D25" s="380" t="s">
        <v>233</v>
      </c>
      <c r="E25" s="371">
        <v>17378</v>
      </c>
      <c r="F25" s="372">
        <v>16989</v>
      </c>
      <c r="G25" s="371"/>
      <c r="H25" s="372">
        <f>18945-46-270</f>
        <v>18629</v>
      </c>
      <c r="I25" s="371"/>
      <c r="J25" s="377">
        <v>21328</v>
      </c>
      <c r="K25" s="371">
        <v>26765</v>
      </c>
      <c r="L25" s="371">
        <v>25335</v>
      </c>
      <c r="M25" s="373">
        <f>34262+200-1082</f>
        <v>33380</v>
      </c>
      <c r="N25" s="373">
        <f>36885-3002</f>
        <v>33883</v>
      </c>
      <c r="O25" s="371">
        <v>31515</v>
      </c>
      <c r="P25" s="371">
        <v>33981</v>
      </c>
      <c r="Q25" s="373">
        <f>40712-300-2610</f>
        <v>37802</v>
      </c>
      <c r="R25" s="371">
        <v>44601</v>
      </c>
      <c r="S25" s="373">
        <f>46638-1497</f>
        <v>45141</v>
      </c>
      <c r="T25" s="371">
        <v>52723</v>
      </c>
      <c r="U25" s="374">
        <f>49286-1350</f>
        <v>47936</v>
      </c>
      <c r="V25" s="562">
        <v>48741</v>
      </c>
      <c r="W25" s="374">
        <f>66071+1000-3000-1090</f>
        <v>62981</v>
      </c>
      <c r="X25" s="562">
        <v>55633</v>
      </c>
      <c r="Y25" s="564">
        <f>72386+1000-1100+704</f>
        <v>72990</v>
      </c>
      <c r="Z25" s="562">
        <v>79406</v>
      </c>
      <c r="AA25" s="562">
        <f>78342-7583-158-1-2000</f>
        <v>68600</v>
      </c>
      <c r="AB25" s="566">
        <f t="shared" si="1"/>
        <v>86.4</v>
      </c>
      <c r="AC25" s="289"/>
    </row>
    <row r="26" spans="2:29">
      <c r="B26" s="280">
        <v>1</v>
      </c>
      <c r="C26" s="355">
        <v>12</v>
      </c>
      <c r="D26" s="363" t="s">
        <v>234</v>
      </c>
      <c r="E26" s="381">
        <v>122</v>
      </c>
      <c r="F26" s="382">
        <v>40</v>
      </c>
      <c r="G26" s="381"/>
      <c r="H26" s="382">
        <v>46</v>
      </c>
      <c r="I26" s="381"/>
      <c r="J26" s="383">
        <v>90</v>
      </c>
      <c r="K26" s="371">
        <v>69</v>
      </c>
      <c r="L26" s="371">
        <v>96</v>
      </c>
      <c r="M26" s="373">
        <v>300</v>
      </c>
      <c r="N26" s="373">
        <v>300</v>
      </c>
      <c r="O26" s="371">
        <v>94</v>
      </c>
      <c r="P26" s="371">
        <v>145</v>
      </c>
      <c r="Q26" s="373">
        <v>300</v>
      </c>
      <c r="R26" s="371">
        <v>151</v>
      </c>
      <c r="S26" s="373">
        <f>300+19</f>
        <v>319</v>
      </c>
      <c r="T26" s="371">
        <v>350</v>
      </c>
      <c r="U26" s="374">
        <v>310</v>
      </c>
      <c r="V26" s="563"/>
      <c r="W26" s="374">
        <f>700+4</f>
        <v>704</v>
      </c>
      <c r="X26" s="563"/>
      <c r="Y26" s="565"/>
      <c r="Z26" s="563"/>
      <c r="AA26" s="563"/>
      <c r="AB26" s="567" t="str">
        <f t="shared" si="1"/>
        <v xml:space="preserve"> </v>
      </c>
      <c r="AC26" s="289"/>
    </row>
    <row r="27" spans="2:29">
      <c r="B27" s="280">
        <v>1</v>
      </c>
      <c r="C27" s="355">
        <v>13</v>
      </c>
      <c r="D27" s="363" t="s">
        <v>235</v>
      </c>
      <c r="E27" s="371">
        <v>1414</v>
      </c>
      <c r="F27" s="372">
        <v>1630</v>
      </c>
      <c r="G27" s="371"/>
      <c r="H27" s="372">
        <v>1144</v>
      </c>
      <c r="I27" s="371"/>
      <c r="J27" s="377">
        <v>737</v>
      </c>
      <c r="K27" s="371">
        <v>630</v>
      </c>
      <c r="L27" s="371">
        <v>610</v>
      </c>
      <c r="M27" s="373">
        <v>594</v>
      </c>
      <c r="N27" s="373">
        <v>538</v>
      </c>
      <c r="O27" s="371">
        <v>397</v>
      </c>
      <c r="P27" s="371">
        <v>285</v>
      </c>
      <c r="Q27" s="373">
        <v>340</v>
      </c>
      <c r="R27" s="371">
        <v>374</v>
      </c>
      <c r="S27" s="373">
        <v>298</v>
      </c>
      <c r="T27" s="371">
        <v>279</v>
      </c>
      <c r="U27" s="374">
        <v>293</v>
      </c>
      <c r="V27" s="375">
        <v>231</v>
      </c>
      <c r="W27" s="374">
        <v>240</v>
      </c>
      <c r="X27" s="375">
        <v>200</v>
      </c>
      <c r="Y27" s="374">
        <v>200</v>
      </c>
      <c r="Z27" s="375">
        <v>180</v>
      </c>
      <c r="AA27" s="372">
        <v>149</v>
      </c>
      <c r="AB27" s="376">
        <f t="shared" si="1"/>
        <v>82.8</v>
      </c>
      <c r="AC27" s="289"/>
    </row>
    <row r="28" spans="2:29">
      <c r="B28" s="280">
        <v>1</v>
      </c>
      <c r="C28" s="355">
        <v>14</v>
      </c>
      <c r="D28" s="363" t="s">
        <v>236</v>
      </c>
      <c r="E28" s="371">
        <v>7719</v>
      </c>
      <c r="F28" s="372">
        <v>9313</v>
      </c>
      <c r="G28" s="371"/>
      <c r="H28" s="372">
        <v>11059</v>
      </c>
      <c r="I28" s="371"/>
      <c r="J28" s="377">
        <v>13261</v>
      </c>
      <c r="K28" s="371">
        <v>15337</v>
      </c>
      <c r="L28" s="371">
        <v>16086</v>
      </c>
      <c r="M28" s="373">
        <v>14800</v>
      </c>
      <c r="N28" s="373">
        <f>15800-400</f>
        <v>15400</v>
      </c>
      <c r="O28" s="371">
        <v>15772</v>
      </c>
      <c r="P28" s="371">
        <v>14976</v>
      </c>
      <c r="Q28" s="373">
        <f>15900-300-1900</f>
        <v>13700</v>
      </c>
      <c r="R28" s="371">
        <v>14220</v>
      </c>
      <c r="S28" s="373">
        <v>15000</v>
      </c>
      <c r="T28" s="371">
        <v>13262</v>
      </c>
      <c r="U28" s="374">
        <v>14600</v>
      </c>
      <c r="V28" s="375">
        <v>11743</v>
      </c>
      <c r="W28" s="374">
        <f>13500-100</f>
        <v>13400</v>
      </c>
      <c r="X28" s="375">
        <v>10729</v>
      </c>
      <c r="Y28" s="374">
        <v>13100</v>
      </c>
      <c r="Z28" s="375">
        <v>6000</v>
      </c>
      <c r="AA28" s="372">
        <v>5800</v>
      </c>
      <c r="AB28" s="376">
        <f t="shared" si="1"/>
        <v>96.7</v>
      </c>
      <c r="AC28" s="289"/>
    </row>
    <row r="29" spans="2:29">
      <c r="B29" s="280">
        <v>1</v>
      </c>
      <c r="C29" s="355">
        <v>15</v>
      </c>
      <c r="D29" s="363" t="s">
        <v>237</v>
      </c>
      <c r="E29" s="371">
        <v>731</v>
      </c>
      <c r="F29" s="372">
        <v>524</v>
      </c>
      <c r="G29" s="371"/>
      <c r="H29" s="372">
        <f>485+1166+164+15+441</f>
        <v>2271</v>
      </c>
      <c r="I29" s="371"/>
      <c r="J29" s="377">
        <v>496</v>
      </c>
      <c r="K29" s="371">
        <v>1652</v>
      </c>
      <c r="L29" s="371">
        <f>200*0+474+9</f>
        <v>483</v>
      </c>
      <c r="M29" s="373">
        <f>497+100+11</f>
        <v>608</v>
      </c>
      <c r="N29" s="373">
        <f>527+500+1540+140+30-250</f>
        <v>2487</v>
      </c>
      <c r="O29" s="371">
        <v>2026</v>
      </c>
      <c r="P29" s="371">
        <v>522</v>
      </c>
      <c r="Q29" s="373">
        <f>540+101+7</f>
        <v>648</v>
      </c>
      <c r="R29" s="371">
        <v>1058</v>
      </c>
      <c r="S29" s="373">
        <f>500+586</f>
        <v>1086</v>
      </c>
      <c r="T29" s="371">
        <v>1214</v>
      </c>
      <c r="U29" s="374">
        <f>492+150+628-75</f>
        <v>1195</v>
      </c>
      <c r="V29" s="375">
        <v>2112</v>
      </c>
      <c r="W29" s="374">
        <f>530+664</f>
        <v>1194</v>
      </c>
      <c r="X29" s="375">
        <v>515</v>
      </c>
      <c r="Y29" s="374">
        <f>496+117</f>
        <v>613</v>
      </c>
      <c r="Z29" s="375">
        <f>501+651</f>
        <v>1152</v>
      </c>
      <c r="AA29" s="372">
        <f>496+711</f>
        <v>1207</v>
      </c>
      <c r="AB29" s="376">
        <f t="shared" si="1"/>
        <v>104.8</v>
      </c>
      <c r="AC29" s="289"/>
    </row>
    <row r="30" spans="2:29">
      <c r="B30" s="280">
        <v>1</v>
      </c>
      <c r="C30" s="355">
        <v>16</v>
      </c>
      <c r="D30" s="363" t="s">
        <v>238</v>
      </c>
      <c r="E30" s="381">
        <v>752</v>
      </c>
      <c r="F30" s="382">
        <f>625</f>
        <v>625</v>
      </c>
      <c r="G30" s="381"/>
      <c r="H30" s="382">
        <f>19+481</f>
        <v>500</v>
      </c>
      <c r="I30" s="381"/>
      <c r="J30" s="383">
        <v>612</v>
      </c>
      <c r="K30" s="381">
        <v>700</v>
      </c>
      <c r="L30" s="381">
        <v>455</v>
      </c>
      <c r="M30" s="384">
        <v>0</v>
      </c>
      <c r="N30" s="384">
        <v>50</v>
      </c>
      <c r="O30" s="381">
        <v>550</v>
      </c>
      <c r="P30" s="381">
        <v>700</v>
      </c>
      <c r="Q30" s="384">
        <v>700</v>
      </c>
      <c r="R30" s="381">
        <v>800</v>
      </c>
      <c r="S30" s="384">
        <v>800</v>
      </c>
      <c r="T30" s="381">
        <v>630</v>
      </c>
      <c r="U30" s="385">
        <v>700</v>
      </c>
      <c r="V30" s="386">
        <v>700</v>
      </c>
      <c r="W30" s="385">
        <v>700</v>
      </c>
      <c r="X30" s="386">
        <v>700</v>
      </c>
      <c r="Y30" s="385">
        <v>700</v>
      </c>
      <c r="Z30" s="386">
        <v>700</v>
      </c>
      <c r="AA30" s="382">
        <v>700</v>
      </c>
      <c r="AB30" s="387">
        <f t="shared" si="1"/>
        <v>100</v>
      </c>
      <c r="AC30" s="290"/>
    </row>
    <row r="31" spans="2:29">
      <c r="B31" s="280">
        <v>1</v>
      </c>
      <c r="C31" s="355">
        <v>17</v>
      </c>
      <c r="D31" s="388" t="s">
        <v>239</v>
      </c>
      <c r="E31" s="389">
        <v>907</v>
      </c>
      <c r="F31" s="390">
        <v>231</v>
      </c>
      <c r="G31" s="389"/>
      <c r="H31" s="390">
        <v>192</v>
      </c>
      <c r="I31" s="389"/>
      <c r="J31" s="391">
        <v>38</v>
      </c>
      <c r="K31" s="389">
        <v>116</v>
      </c>
      <c r="L31" s="389">
        <v>162</v>
      </c>
      <c r="M31" s="392">
        <f>1058-200</f>
        <v>858</v>
      </c>
      <c r="N31" s="392">
        <v>889</v>
      </c>
      <c r="O31" s="389">
        <v>421</v>
      </c>
      <c r="P31" s="389">
        <v>244</v>
      </c>
      <c r="Q31" s="392">
        <f>778-40-150</f>
        <v>588</v>
      </c>
      <c r="R31" s="389">
        <v>401</v>
      </c>
      <c r="S31" s="392">
        <f>706-150+150</f>
        <v>706</v>
      </c>
      <c r="T31" s="389">
        <v>1121</v>
      </c>
      <c r="U31" s="393">
        <v>621</v>
      </c>
      <c r="V31" s="394">
        <v>2792</v>
      </c>
      <c r="W31" s="393">
        <f>919+1050+1000</f>
        <v>2969</v>
      </c>
      <c r="X31" s="394">
        <v>1491</v>
      </c>
      <c r="Y31" s="393">
        <f>998+1000</f>
        <v>1998</v>
      </c>
      <c r="Z31" s="394">
        <f>660+1000</f>
        <v>1660</v>
      </c>
      <c r="AA31" s="390">
        <f>750+1000</f>
        <v>1750</v>
      </c>
      <c r="AB31" s="395">
        <f t="shared" si="1"/>
        <v>105.4</v>
      </c>
      <c r="AC31" s="289"/>
    </row>
    <row r="32" spans="2:29" ht="28.5">
      <c r="B32" s="280">
        <v>1</v>
      </c>
      <c r="C32" s="355">
        <v>18</v>
      </c>
      <c r="D32" s="396" t="s">
        <v>289</v>
      </c>
      <c r="E32" s="397">
        <v>5569</v>
      </c>
      <c r="F32" s="398">
        <v>4240</v>
      </c>
      <c r="G32" s="399"/>
      <c r="H32" s="398">
        <v>2930</v>
      </c>
      <c r="I32" s="399"/>
      <c r="J32" s="400">
        <v>6717</v>
      </c>
      <c r="K32" s="397">
        <v>5277</v>
      </c>
      <c r="L32" s="397">
        <v>831</v>
      </c>
      <c r="M32" s="401">
        <f>963-132</f>
        <v>831</v>
      </c>
      <c r="N32" s="401">
        <v>1793</v>
      </c>
      <c r="O32" s="397">
        <v>1793</v>
      </c>
      <c r="P32" s="397">
        <v>1709</v>
      </c>
      <c r="Q32" s="401">
        <v>1400</v>
      </c>
      <c r="R32" s="397">
        <v>1002</v>
      </c>
      <c r="S32" s="401">
        <v>1002</v>
      </c>
      <c r="T32" s="397">
        <v>1425</v>
      </c>
      <c r="U32" s="402">
        <v>1440</v>
      </c>
      <c r="V32" s="403">
        <v>1233</v>
      </c>
      <c r="W32" s="402">
        <f>1020+250</f>
        <v>1270</v>
      </c>
      <c r="X32" s="403">
        <v>1283</v>
      </c>
      <c r="Y32" s="402">
        <v>1283</v>
      </c>
      <c r="Z32" s="403">
        <v>1500</v>
      </c>
      <c r="AA32" s="398">
        <v>1400</v>
      </c>
      <c r="AB32" s="404">
        <f t="shared" si="1"/>
        <v>93.3</v>
      </c>
      <c r="AC32" s="289"/>
    </row>
    <row r="33" spans="2:29">
      <c r="B33" s="280">
        <v>1</v>
      </c>
      <c r="C33" s="355">
        <v>19</v>
      </c>
      <c r="D33" s="363" t="s">
        <v>240</v>
      </c>
      <c r="E33" s="381">
        <v>12</v>
      </c>
      <c r="F33" s="382">
        <v>13</v>
      </c>
      <c r="G33" s="381"/>
      <c r="H33" s="382">
        <v>13</v>
      </c>
      <c r="I33" s="381"/>
      <c r="J33" s="383">
        <v>14</v>
      </c>
      <c r="K33" s="381">
        <v>14</v>
      </c>
      <c r="L33" s="381">
        <v>14</v>
      </c>
      <c r="M33" s="384">
        <v>14</v>
      </c>
      <c r="N33" s="384">
        <v>14</v>
      </c>
      <c r="O33" s="381">
        <v>14</v>
      </c>
      <c r="P33" s="381">
        <v>14</v>
      </c>
      <c r="Q33" s="384">
        <v>14</v>
      </c>
      <c r="R33" s="381">
        <v>14</v>
      </c>
      <c r="S33" s="384">
        <v>14</v>
      </c>
      <c r="T33" s="381"/>
      <c r="U33" s="385"/>
      <c r="V33" s="386"/>
      <c r="W33" s="385">
        <v>0</v>
      </c>
      <c r="X33" s="386"/>
      <c r="Y33" s="385"/>
      <c r="Z33" s="386"/>
      <c r="AA33" s="382"/>
      <c r="AB33" s="387" t="str">
        <f t="shared" si="1"/>
        <v xml:space="preserve"> </v>
      </c>
      <c r="AC33" s="290"/>
    </row>
    <row r="34" spans="2:29">
      <c r="B34" s="280">
        <v>1</v>
      </c>
      <c r="C34" s="355">
        <v>20</v>
      </c>
      <c r="D34" s="363" t="s">
        <v>241</v>
      </c>
      <c r="E34" s="381">
        <v>13</v>
      </c>
      <c r="F34" s="382">
        <v>20</v>
      </c>
      <c r="G34" s="381"/>
      <c r="H34" s="382">
        <v>32</v>
      </c>
      <c r="I34" s="381"/>
      <c r="J34" s="383">
        <v>35</v>
      </c>
      <c r="K34" s="381">
        <v>35</v>
      </c>
      <c r="L34" s="381">
        <v>21</v>
      </c>
      <c r="M34" s="384">
        <v>35</v>
      </c>
      <c r="N34" s="384">
        <v>21</v>
      </c>
      <c r="O34" s="381">
        <v>0</v>
      </c>
      <c r="P34" s="381">
        <v>0</v>
      </c>
      <c r="Q34" s="384">
        <v>0</v>
      </c>
      <c r="R34" s="381">
        <v>0</v>
      </c>
      <c r="S34" s="384">
        <v>0</v>
      </c>
      <c r="T34" s="381"/>
      <c r="U34" s="385"/>
      <c r="V34" s="386"/>
      <c r="W34" s="385">
        <v>0</v>
      </c>
      <c r="X34" s="386"/>
      <c r="Y34" s="385"/>
      <c r="Z34" s="386"/>
      <c r="AA34" s="382"/>
      <c r="AB34" s="387" t="str">
        <f t="shared" si="1"/>
        <v xml:space="preserve"> </v>
      </c>
      <c r="AC34" s="290"/>
    </row>
    <row r="35" spans="2:29">
      <c r="B35" s="280">
        <v>1</v>
      </c>
      <c r="C35" s="355">
        <v>21</v>
      </c>
      <c r="D35" s="363" t="s">
        <v>242</v>
      </c>
      <c r="E35" s="381">
        <v>60</v>
      </c>
      <c r="F35" s="382">
        <v>110</v>
      </c>
      <c r="G35" s="381"/>
      <c r="H35" s="382">
        <v>70</v>
      </c>
      <c r="I35" s="381"/>
      <c r="J35" s="383"/>
      <c r="K35" s="381"/>
      <c r="L35" s="381"/>
      <c r="M35" s="384"/>
      <c r="N35" s="384"/>
      <c r="O35" s="381"/>
      <c r="P35" s="381"/>
      <c r="Q35" s="384"/>
      <c r="R35" s="381"/>
      <c r="S35" s="384"/>
      <c r="T35" s="381"/>
      <c r="U35" s="385"/>
      <c r="V35" s="386"/>
      <c r="W35" s="385"/>
      <c r="X35" s="386"/>
      <c r="Y35" s="385"/>
      <c r="Z35" s="386"/>
      <c r="AA35" s="382"/>
      <c r="AB35" s="387" t="str">
        <f t="shared" si="1"/>
        <v xml:space="preserve"> </v>
      </c>
      <c r="AC35" s="290"/>
    </row>
    <row r="36" spans="2:29" ht="25.5">
      <c r="B36" s="280">
        <v>1</v>
      </c>
      <c r="C36" s="355">
        <v>22</v>
      </c>
      <c r="D36" s="363" t="s">
        <v>243</v>
      </c>
      <c r="E36" s="381">
        <v>4</v>
      </c>
      <c r="F36" s="382">
        <v>21</v>
      </c>
      <c r="G36" s="381"/>
      <c r="H36" s="382">
        <f>2+21</f>
        <v>23</v>
      </c>
      <c r="I36" s="381"/>
      <c r="J36" s="383">
        <v>30</v>
      </c>
      <c r="K36" s="381">
        <v>93</v>
      </c>
      <c r="L36" s="381">
        <v>51</v>
      </c>
      <c r="M36" s="384">
        <f>12+258</f>
        <v>270</v>
      </c>
      <c r="N36" s="384">
        <f>12+297</f>
        <v>309</v>
      </c>
      <c r="O36" s="381">
        <v>73</v>
      </c>
      <c r="P36" s="381">
        <v>111</v>
      </c>
      <c r="Q36" s="384">
        <f>1+257</f>
        <v>258</v>
      </c>
      <c r="R36" s="381">
        <v>115</v>
      </c>
      <c r="S36" s="384">
        <v>258</v>
      </c>
      <c r="T36" s="381">
        <v>288</v>
      </c>
      <c r="U36" s="385">
        <v>1325</v>
      </c>
      <c r="V36" s="386">
        <v>299</v>
      </c>
      <c r="W36" s="385">
        <f>3380-163-2000</f>
        <v>1217</v>
      </c>
      <c r="X36" s="386">
        <v>305</v>
      </c>
      <c r="Y36" s="385">
        <v>850</v>
      </c>
      <c r="Z36" s="386">
        <f>850-100</f>
        <v>750</v>
      </c>
      <c r="AA36" s="382">
        <v>850</v>
      </c>
      <c r="AB36" s="387">
        <f t="shared" si="1"/>
        <v>113.3</v>
      </c>
      <c r="AC36" s="290"/>
    </row>
    <row r="37" spans="2:29" ht="15.75">
      <c r="C37" s="355">
        <v>23</v>
      </c>
      <c r="D37" s="363" t="s">
        <v>290</v>
      </c>
      <c r="E37" s="381"/>
      <c r="F37" s="382">
        <v>50</v>
      </c>
      <c r="G37" s="381"/>
      <c r="H37" s="382">
        <v>50</v>
      </c>
      <c r="I37" s="381"/>
      <c r="J37" s="383">
        <v>0</v>
      </c>
      <c r="K37" s="381"/>
      <c r="L37" s="381"/>
      <c r="M37" s="384">
        <v>0</v>
      </c>
      <c r="N37" s="384">
        <v>0</v>
      </c>
      <c r="O37" s="381"/>
      <c r="P37" s="381"/>
      <c r="Q37" s="384">
        <v>0</v>
      </c>
      <c r="R37" s="381"/>
      <c r="S37" s="384"/>
      <c r="T37" s="381"/>
      <c r="U37" s="385"/>
      <c r="V37" s="386"/>
      <c r="W37" s="385"/>
      <c r="X37" s="386"/>
      <c r="Y37" s="385"/>
      <c r="Z37" s="386"/>
      <c r="AA37" s="382"/>
      <c r="AB37" s="387" t="str">
        <f t="shared" si="1"/>
        <v xml:space="preserve"> </v>
      </c>
    </row>
    <row r="38" spans="2:29" ht="63.75">
      <c r="C38" s="355">
        <v>24</v>
      </c>
      <c r="D38" s="363" t="s">
        <v>293</v>
      </c>
      <c r="E38" s="381"/>
      <c r="F38" s="382">
        <v>535</v>
      </c>
      <c r="G38" s="381"/>
      <c r="H38" s="382">
        <v>1000</v>
      </c>
      <c r="I38" s="381"/>
      <c r="J38" s="383">
        <v>122</v>
      </c>
      <c r="K38" s="381">
        <v>25</v>
      </c>
      <c r="L38" s="381">
        <v>6</v>
      </c>
      <c r="M38" s="384">
        <v>33</v>
      </c>
      <c r="N38" s="384">
        <f>10+228+153+810</f>
        <v>1201</v>
      </c>
      <c r="O38" s="381">
        <v>996</v>
      </c>
      <c r="P38" s="381">
        <v>1010</v>
      </c>
      <c r="Q38" s="384">
        <f>222+53+875</f>
        <v>1150</v>
      </c>
      <c r="R38" s="381">
        <v>766</v>
      </c>
      <c r="S38" s="384">
        <f>194*0+4*0+816</f>
        <v>816</v>
      </c>
      <c r="T38" s="381">
        <v>753</v>
      </c>
      <c r="U38" s="385">
        <v>688</v>
      </c>
      <c r="V38" s="386">
        <v>1491</v>
      </c>
      <c r="W38" s="385">
        <f>781+2500-1000</f>
        <v>2281</v>
      </c>
      <c r="X38" s="386">
        <v>779</v>
      </c>
      <c r="Y38" s="385">
        <f>898+800</f>
        <v>1698</v>
      </c>
      <c r="Z38" s="386">
        <f>808+200</f>
        <v>1008</v>
      </c>
      <c r="AA38" s="382">
        <f>728+100</f>
        <v>828</v>
      </c>
      <c r="AB38" s="387">
        <f t="shared" si="1"/>
        <v>82.1</v>
      </c>
    </row>
    <row r="39" spans="2:29" ht="24.75">
      <c r="C39" s="355">
        <v>25</v>
      </c>
      <c r="D39" s="405" t="s">
        <v>291</v>
      </c>
      <c r="E39" s="406">
        <v>18</v>
      </c>
      <c r="F39" s="407">
        <v>39</v>
      </c>
      <c r="G39" s="408"/>
      <c r="H39" s="407">
        <v>53</v>
      </c>
      <c r="I39" s="408"/>
      <c r="J39" s="409">
        <v>51</v>
      </c>
      <c r="K39" s="406">
        <v>63</v>
      </c>
      <c r="L39" s="406">
        <v>48</v>
      </c>
      <c r="M39" s="410">
        <f>68+8</f>
        <v>76</v>
      </c>
      <c r="N39" s="410">
        <f>72+6</f>
        <v>78</v>
      </c>
      <c r="O39" s="406">
        <v>46</v>
      </c>
      <c r="P39" s="406"/>
      <c r="Q39" s="410">
        <v>18</v>
      </c>
      <c r="R39" s="386"/>
      <c r="S39" s="385"/>
      <c r="T39" s="386"/>
      <c r="U39" s="385"/>
      <c r="V39" s="386"/>
      <c r="W39" s="385"/>
      <c r="X39" s="386"/>
      <c r="Y39" s="385"/>
      <c r="Z39" s="386"/>
      <c r="AA39" s="382"/>
      <c r="AB39" s="387" t="str">
        <f t="shared" si="1"/>
        <v xml:space="preserve"> </v>
      </c>
    </row>
    <row r="40" spans="2:29" ht="38.25">
      <c r="C40" s="355">
        <v>26</v>
      </c>
      <c r="D40" s="405" t="s">
        <v>244</v>
      </c>
      <c r="E40" s="406"/>
      <c r="F40" s="407">
        <v>77</v>
      </c>
      <c r="G40" s="408"/>
      <c r="H40" s="407">
        <v>141</v>
      </c>
      <c r="I40" s="408"/>
      <c r="J40" s="409">
        <v>0</v>
      </c>
      <c r="K40" s="406">
        <v>0</v>
      </c>
      <c r="L40" s="406">
        <v>0</v>
      </c>
      <c r="M40" s="410">
        <f>575-431-50</f>
        <v>94</v>
      </c>
      <c r="N40" s="410">
        <v>60</v>
      </c>
      <c r="O40" s="406">
        <v>0</v>
      </c>
      <c r="P40" s="406"/>
      <c r="Q40" s="410">
        <v>0</v>
      </c>
      <c r="R40" s="386"/>
      <c r="S40" s="385">
        <v>0</v>
      </c>
      <c r="T40" s="386"/>
      <c r="U40" s="385"/>
      <c r="V40" s="386"/>
      <c r="W40" s="385"/>
      <c r="X40" s="386"/>
      <c r="Y40" s="385"/>
      <c r="Z40" s="386"/>
      <c r="AA40" s="382"/>
      <c r="AB40" s="387" t="str">
        <f t="shared" si="1"/>
        <v xml:space="preserve"> </v>
      </c>
    </row>
    <row r="41" spans="2:29">
      <c r="C41" s="355">
        <v>27</v>
      </c>
      <c r="D41" s="405" t="s">
        <v>245</v>
      </c>
      <c r="E41" s="406"/>
      <c r="F41" s="407">
        <v>285</v>
      </c>
      <c r="G41" s="408"/>
      <c r="H41" s="407">
        <v>305</v>
      </c>
      <c r="I41" s="408"/>
      <c r="J41" s="409">
        <v>261</v>
      </c>
      <c r="K41" s="406">
        <v>1</v>
      </c>
      <c r="L41" s="406">
        <v>0</v>
      </c>
      <c r="M41" s="410">
        <v>10</v>
      </c>
      <c r="N41" s="410">
        <v>10</v>
      </c>
      <c r="O41" s="406"/>
      <c r="P41" s="406"/>
      <c r="Q41" s="410">
        <v>0</v>
      </c>
      <c r="R41" s="386"/>
      <c r="S41" s="385">
        <v>0</v>
      </c>
      <c r="T41" s="386"/>
      <c r="U41" s="385">
        <v>0</v>
      </c>
      <c r="V41" s="386"/>
      <c r="W41" s="385"/>
      <c r="X41" s="386"/>
      <c r="Y41" s="385"/>
      <c r="Z41" s="386"/>
      <c r="AA41" s="382"/>
      <c r="AB41" s="387" t="str">
        <f t="shared" si="1"/>
        <v xml:space="preserve"> </v>
      </c>
    </row>
    <row r="42" spans="2:29">
      <c r="C42" s="411">
        <v>28</v>
      </c>
      <c r="D42" s="412" t="s">
        <v>246</v>
      </c>
      <c r="E42" s="408"/>
      <c r="F42" s="413"/>
      <c r="G42" s="408"/>
      <c r="H42" s="413"/>
      <c r="I42" s="408"/>
      <c r="J42" s="414"/>
      <c r="K42" s="408"/>
      <c r="L42" s="408"/>
      <c r="M42" s="415"/>
      <c r="N42" s="415">
        <v>12</v>
      </c>
      <c r="O42" s="408">
        <v>0</v>
      </c>
      <c r="P42" s="408"/>
      <c r="Q42" s="415">
        <f>500-50</f>
        <v>450</v>
      </c>
      <c r="R42" s="408">
        <v>146</v>
      </c>
      <c r="S42" s="415">
        <v>300</v>
      </c>
      <c r="T42" s="408">
        <v>141</v>
      </c>
      <c r="U42" s="410">
        <v>150</v>
      </c>
      <c r="V42" s="406">
        <v>120</v>
      </c>
      <c r="W42" s="410">
        <v>150</v>
      </c>
      <c r="X42" s="406">
        <v>161</v>
      </c>
      <c r="Y42" s="410">
        <v>215</v>
      </c>
      <c r="Z42" s="406">
        <f>133+68</f>
        <v>201</v>
      </c>
      <c r="AA42" s="413">
        <v>175</v>
      </c>
      <c r="AB42" s="416">
        <f t="shared" si="1"/>
        <v>87.1</v>
      </c>
    </row>
    <row r="43" spans="2:29" ht="13.5" thickBot="1">
      <c r="B43" s="280">
        <v>1</v>
      </c>
      <c r="C43" s="417">
        <v>29</v>
      </c>
      <c r="D43" s="418" t="s">
        <v>247</v>
      </c>
      <c r="E43" s="419">
        <v>30</v>
      </c>
      <c r="F43" s="420">
        <v>32</v>
      </c>
      <c r="G43" s="419"/>
      <c r="H43" s="420">
        <v>32</v>
      </c>
      <c r="I43" s="419"/>
      <c r="J43" s="419">
        <v>36</v>
      </c>
      <c r="K43" s="419">
        <v>40</v>
      </c>
      <c r="L43" s="419">
        <v>45</v>
      </c>
      <c r="M43" s="421">
        <f>40+5</f>
        <v>45</v>
      </c>
      <c r="N43" s="421">
        <v>45</v>
      </c>
      <c r="O43" s="419">
        <v>44</v>
      </c>
      <c r="P43" s="419">
        <v>45</v>
      </c>
      <c r="Q43" s="421">
        <v>45</v>
      </c>
      <c r="R43" s="419">
        <v>45</v>
      </c>
      <c r="S43" s="421">
        <v>45</v>
      </c>
      <c r="T43" s="419">
        <v>45</v>
      </c>
      <c r="U43" s="422">
        <v>45</v>
      </c>
      <c r="V43" s="423">
        <v>40</v>
      </c>
      <c r="W43" s="422">
        <v>40</v>
      </c>
      <c r="X43" s="423">
        <v>40</v>
      </c>
      <c r="Y43" s="422">
        <v>40</v>
      </c>
      <c r="Z43" s="423">
        <v>32</v>
      </c>
      <c r="AA43" s="420">
        <v>32</v>
      </c>
      <c r="AB43" s="424">
        <f t="shared" si="1"/>
        <v>100</v>
      </c>
      <c r="AC43" s="290"/>
    </row>
    <row r="44" spans="2:29" ht="32.25" thickBot="1">
      <c r="C44" s="425"/>
      <c r="D44" s="426" t="s">
        <v>248</v>
      </c>
      <c r="E44" s="427">
        <f>SUM(E12:E43)</f>
        <v>331937</v>
      </c>
      <c r="F44" s="428">
        <f>SUM(F12:F43)</f>
        <v>351506</v>
      </c>
      <c r="G44" s="427"/>
      <c r="H44" s="428">
        <f>SUM(H12:H43)</f>
        <v>377028</v>
      </c>
      <c r="I44" s="427"/>
      <c r="J44" s="427">
        <f t="shared" ref="J44:AA44" si="2">SUM(J12:J43)</f>
        <v>401343</v>
      </c>
      <c r="K44" s="427">
        <f t="shared" si="2"/>
        <v>418252</v>
      </c>
      <c r="L44" s="427">
        <f t="shared" si="2"/>
        <v>425050</v>
      </c>
      <c r="M44" s="429">
        <f t="shared" si="2"/>
        <v>431251</v>
      </c>
      <c r="N44" s="429">
        <f t="shared" si="2"/>
        <v>459927</v>
      </c>
      <c r="O44" s="427">
        <f t="shared" si="2"/>
        <v>473731</v>
      </c>
      <c r="P44" s="427">
        <f t="shared" si="2"/>
        <v>518971</v>
      </c>
      <c r="Q44" s="429">
        <f t="shared" si="2"/>
        <v>525472</v>
      </c>
      <c r="R44" s="427">
        <f t="shared" si="2"/>
        <v>545155</v>
      </c>
      <c r="S44" s="429">
        <f t="shared" si="2"/>
        <v>540574</v>
      </c>
      <c r="T44" s="430">
        <f t="shared" si="2"/>
        <v>585042</v>
      </c>
      <c r="U44" s="431">
        <f t="shared" si="2"/>
        <v>572367</v>
      </c>
      <c r="V44" s="430">
        <f t="shared" si="2"/>
        <v>589102</v>
      </c>
      <c r="W44" s="431">
        <f t="shared" si="2"/>
        <v>608965</v>
      </c>
      <c r="X44" s="430">
        <f t="shared" si="2"/>
        <v>604520</v>
      </c>
      <c r="Y44" s="431">
        <f t="shared" si="2"/>
        <v>628944</v>
      </c>
      <c r="Z44" s="430">
        <f t="shared" si="2"/>
        <v>648564</v>
      </c>
      <c r="AA44" s="430">
        <f t="shared" si="2"/>
        <v>646861</v>
      </c>
      <c r="AB44" s="432">
        <f t="shared" si="1"/>
        <v>99.7</v>
      </c>
      <c r="AC44" s="291"/>
    </row>
    <row r="45" spans="2:29">
      <c r="C45" s="355"/>
      <c r="D45" s="363"/>
      <c r="E45" s="381"/>
      <c r="F45" s="382"/>
      <c r="G45" s="381"/>
      <c r="H45" s="382"/>
      <c r="I45" s="381"/>
      <c r="J45" s="381"/>
      <c r="K45" s="381"/>
      <c r="L45" s="381"/>
      <c r="M45" s="384"/>
      <c r="N45" s="384"/>
      <c r="O45" s="381"/>
      <c r="P45" s="381"/>
      <c r="Q45" s="384"/>
      <c r="R45" s="381"/>
      <c r="S45" s="384"/>
      <c r="T45" s="381"/>
      <c r="U45" s="385"/>
      <c r="V45" s="386"/>
      <c r="W45" s="385"/>
      <c r="X45" s="386"/>
      <c r="Y45" s="385"/>
      <c r="Z45" s="386"/>
      <c r="AA45" s="382"/>
      <c r="AB45" s="387" t="str">
        <f t="shared" si="1"/>
        <v xml:space="preserve"> </v>
      </c>
      <c r="AC45" s="290"/>
    </row>
    <row r="46" spans="2:29" ht="15.75">
      <c r="C46" s="433"/>
      <c r="D46" s="434" t="s">
        <v>249</v>
      </c>
      <c r="E46" s="381"/>
      <c r="F46" s="382"/>
      <c r="G46" s="381"/>
      <c r="H46" s="382"/>
      <c r="I46" s="381"/>
      <c r="J46" s="381"/>
      <c r="K46" s="381"/>
      <c r="L46" s="381"/>
      <c r="M46" s="384"/>
      <c r="N46" s="384"/>
      <c r="O46" s="381"/>
      <c r="P46" s="381"/>
      <c r="Q46" s="384"/>
      <c r="R46" s="381"/>
      <c r="S46" s="384"/>
      <c r="T46" s="381"/>
      <c r="U46" s="385"/>
      <c r="V46" s="386"/>
      <c r="W46" s="385"/>
      <c r="X46" s="386"/>
      <c r="Y46" s="385"/>
      <c r="Z46" s="386"/>
      <c r="AA46" s="382"/>
      <c r="AB46" s="387" t="str">
        <f t="shared" si="1"/>
        <v xml:space="preserve"> </v>
      </c>
      <c r="AC46" s="290"/>
    </row>
    <row r="47" spans="2:29">
      <c r="C47" s="435"/>
      <c r="D47" s="436" t="s">
        <v>250</v>
      </c>
      <c r="E47" s="381"/>
      <c r="F47" s="382"/>
      <c r="G47" s="381"/>
      <c r="H47" s="382"/>
      <c r="I47" s="381"/>
      <c r="J47" s="381"/>
      <c r="K47" s="381"/>
      <c r="L47" s="381"/>
      <c r="M47" s="384"/>
      <c r="N47" s="384"/>
      <c r="O47" s="381"/>
      <c r="P47" s="381"/>
      <c r="Q47" s="384"/>
      <c r="R47" s="381"/>
      <c r="S47" s="384"/>
      <c r="T47" s="381"/>
      <c r="U47" s="385"/>
      <c r="V47" s="386"/>
      <c r="W47" s="385"/>
      <c r="X47" s="386"/>
      <c r="Y47" s="385"/>
      <c r="Z47" s="386"/>
      <c r="AA47" s="382"/>
      <c r="AB47" s="387" t="str">
        <f t="shared" si="1"/>
        <v xml:space="preserve"> </v>
      </c>
      <c r="AC47" s="290"/>
    </row>
    <row r="48" spans="2:29">
      <c r="B48" s="280">
        <v>2</v>
      </c>
      <c r="C48" s="355">
        <v>1</v>
      </c>
      <c r="D48" s="363" t="s">
        <v>251</v>
      </c>
      <c r="E48" s="371">
        <v>276</v>
      </c>
      <c r="F48" s="372">
        <v>479</v>
      </c>
      <c r="G48" s="371"/>
      <c r="H48" s="372">
        <f>530-66</f>
        <v>464</v>
      </c>
      <c r="I48" s="371"/>
      <c r="J48" s="377">
        <v>496</v>
      </c>
      <c r="K48" s="371">
        <v>472</v>
      </c>
      <c r="L48" s="371">
        <v>344</v>
      </c>
      <c r="M48" s="373">
        <v>400</v>
      </c>
      <c r="N48" s="373">
        <v>300</v>
      </c>
      <c r="O48" s="371">
        <v>174</v>
      </c>
      <c r="P48" s="371">
        <v>77</v>
      </c>
      <c r="Q48" s="373">
        <v>100</v>
      </c>
      <c r="R48" s="371">
        <v>24</v>
      </c>
      <c r="S48" s="373">
        <v>64</v>
      </c>
      <c r="T48" s="371">
        <v>9</v>
      </c>
      <c r="U48" s="374">
        <v>42</v>
      </c>
      <c r="V48" s="375">
        <v>18</v>
      </c>
      <c r="W48" s="374">
        <v>77</v>
      </c>
      <c r="X48" s="375">
        <v>23</v>
      </c>
      <c r="Y48" s="374">
        <v>14</v>
      </c>
      <c r="Z48" s="375">
        <v>23</v>
      </c>
      <c r="AA48" s="372">
        <v>20</v>
      </c>
      <c r="AB48" s="376">
        <f t="shared" si="1"/>
        <v>87</v>
      </c>
      <c r="AC48" s="289"/>
    </row>
    <row r="49" spans="2:29">
      <c r="B49" s="280">
        <v>2</v>
      </c>
      <c r="C49" s="355">
        <v>2</v>
      </c>
      <c r="D49" s="363" t="s">
        <v>252</v>
      </c>
      <c r="E49" s="371">
        <v>26</v>
      </c>
      <c r="F49" s="372">
        <v>21</v>
      </c>
      <c r="G49" s="371"/>
      <c r="H49" s="372">
        <v>11</v>
      </c>
      <c r="I49" s="371"/>
      <c r="J49" s="377">
        <v>7</v>
      </c>
      <c r="K49" s="371">
        <v>5</v>
      </c>
      <c r="L49" s="371">
        <v>3</v>
      </c>
      <c r="M49" s="373">
        <v>6</v>
      </c>
      <c r="N49" s="373">
        <v>4</v>
      </c>
      <c r="O49" s="371">
        <v>1</v>
      </c>
      <c r="P49" s="371"/>
      <c r="Q49" s="373">
        <v>1</v>
      </c>
      <c r="R49" s="371"/>
      <c r="S49" s="373">
        <v>1</v>
      </c>
      <c r="T49" s="371"/>
      <c r="U49" s="374"/>
      <c r="V49" s="375"/>
      <c r="W49" s="374"/>
      <c r="X49" s="375"/>
      <c r="Y49" s="374"/>
      <c r="Z49" s="375"/>
      <c r="AA49" s="372"/>
      <c r="AB49" s="376" t="str">
        <f t="shared" si="1"/>
        <v xml:space="preserve"> </v>
      </c>
      <c r="AC49" s="289"/>
    </row>
    <row r="50" spans="2:29" ht="25.5">
      <c r="B50" s="280">
        <v>2</v>
      </c>
      <c r="C50" s="355">
        <v>3</v>
      </c>
      <c r="D50" s="363" t="s">
        <v>253</v>
      </c>
      <c r="E50" s="381">
        <v>1</v>
      </c>
      <c r="F50" s="382">
        <v>1</v>
      </c>
      <c r="G50" s="381"/>
      <c r="H50" s="382">
        <v>1</v>
      </c>
      <c r="I50" s="381"/>
      <c r="J50" s="383">
        <v>0</v>
      </c>
      <c r="K50" s="381">
        <v>0</v>
      </c>
      <c r="L50" s="381">
        <v>0</v>
      </c>
      <c r="M50" s="384">
        <v>1</v>
      </c>
      <c r="N50" s="384">
        <v>1</v>
      </c>
      <c r="O50" s="381"/>
      <c r="P50" s="381"/>
      <c r="Q50" s="384"/>
      <c r="R50" s="381"/>
      <c r="S50" s="384"/>
      <c r="T50" s="381"/>
      <c r="U50" s="385"/>
      <c r="V50" s="386"/>
      <c r="W50" s="385"/>
      <c r="X50" s="386"/>
      <c r="Y50" s="385"/>
      <c r="Z50" s="386"/>
      <c r="AA50" s="382"/>
      <c r="AB50" s="387" t="str">
        <f t="shared" si="1"/>
        <v xml:space="preserve"> </v>
      </c>
      <c r="AC50" s="290"/>
    </row>
    <row r="51" spans="2:29">
      <c r="C51" s="355">
        <v>4</v>
      </c>
      <c r="D51" s="363" t="s">
        <v>254</v>
      </c>
      <c r="E51" s="381">
        <v>15</v>
      </c>
      <c r="F51" s="382">
        <v>25</v>
      </c>
      <c r="G51" s="381"/>
      <c r="H51" s="382">
        <v>40</v>
      </c>
      <c r="I51" s="381"/>
      <c r="J51" s="383">
        <v>26</v>
      </c>
      <c r="K51" s="381">
        <v>49</v>
      </c>
      <c r="L51" s="381">
        <v>44</v>
      </c>
      <c r="M51" s="384">
        <f>42</f>
        <v>42</v>
      </c>
      <c r="N51" s="384">
        <v>44</v>
      </c>
      <c r="O51" s="381">
        <v>40</v>
      </c>
      <c r="P51" s="381">
        <v>45</v>
      </c>
      <c r="Q51" s="384">
        <v>55</v>
      </c>
      <c r="R51" s="381">
        <v>42</v>
      </c>
      <c r="S51" s="384">
        <v>55</v>
      </c>
      <c r="T51" s="381">
        <v>47</v>
      </c>
      <c r="U51" s="385">
        <v>55</v>
      </c>
      <c r="V51" s="386">
        <v>74</v>
      </c>
      <c r="W51" s="385">
        <v>55</v>
      </c>
      <c r="X51" s="386">
        <v>37</v>
      </c>
      <c r="Y51" s="385">
        <v>60</v>
      </c>
      <c r="Z51" s="386">
        <v>70</v>
      </c>
      <c r="AA51" s="382">
        <v>75</v>
      </c>
      <c r="AB51" s="387">
        <f>IF(Z51=0," ",IF(Z51&gt;0,ROUND(AA51/Z51*100,1)))</f>
        <v>107.1</v>
      </c>
      <c r="AC51" s="290"/>
    </row>
    <row r="52" spans="2:29" ht="13.5" thickBot="1">
      <c r="B52" s="280">
        <v>2</v>
      </c>
      <c r="C52" s="355"/>
      <c r="D52" s="418"/>
      <c r="E52" s="419"/>
      <c r="F52" s="420"/>
      <c r="G52" s="419"/>
      <c r="H52" s="420"/>
      <c r="I52" s="419"/>
      <c r="J52" s="419"/>
      <c r="K52" s="419"/>
      <c r="L52" s="419"/>
      <c r="M52" s="421"/>
      <c r="N52" s="421"/>
      <c r="O52" s="419"/>
      <c r="P52" s="419"/>
      <c r="Q52" s="421"/>
      <c r="R52" s="419"/>
      <c r="S52" s="421"/>
      <c r="T52" s="419"/>
      <c r="U52" s="422"/>
      <c r="V52" s="423"/>
      <c r="W52" s="422"/>
      <c r="X52" s="423"/>
      <c r="Y52" s="422"/>
      <c r="Z52" s="423"/>
      <c r="AA52" s="420"/>
      <c r="AB52" s="424"/>
      <c r="AC52" s="290"/>
    </row>
    <row r="53" spans="2:29" ht="13.5" thickBot="1">
      <c r="C53" s="437"/>
      <c r="D53" s="438" t="s">
        <v>255</v>
      </c>
      <c r="E53" s="439">
        <f>SUM(E48:E52)</f>
        <v>318</v>
      </c>
      <c r="F53" s="440">
        <f>SUM(F48:F52)</f>
        <v>526</v>
      </c>
      <c r="G53" s="439"/>
      <c r="H53" s="440">
        <f>SUM(H48:H52)</f>
        <v>516</v>
      </c>
      <c r="I53" s="439"/>
      <c r="J53" s="439">
        <f t="shared" ref="J53:AA53" si="3">SUM(J48:J52)</f>
        <v>529</v>
      </c>
      <c r="K53" s="439">
        <f t="shared" si="3"/>
        <v>526</v>
      </c>
      <c r="L53" s="439">
        <f t="shared" si="3"/>
        <v>391</v>
      </c>
      <c r="M53" s="441">
        <f t="shared" si="3"/>
        <v>449</v>
      </c>
      <c r="N53" s="441">
        <f t="shared" si="3"/>
        <v>349</v>
      </c>
      <c r="O53" s="439">
        <f t="shared" si="3"/>
        <v>215</v>
      </c>
      <c r="P53" s="439">
        <f t="shared" si="3"/>
        <v>122</v>
      </c>
      <c r="Q53" s="439">
        <f>SUM(Q48:Q52)</f>
        <v>156</v>
      </c>
      <c r="R53" s="439">
        <f>SUM(R48:R52)</f>
        <v>66</v>
      </c>
      <c r="S53" s="441">
        <f t="shared" si="3"/>
        <v>120</v>
      </c>
      <c r="T53" s="439">
        <f>SUM(T48:T52)</f>
        <v>56</v>
      </c>
      <c r="U53" s="439">
        <f>SUM(U48:U52)</f>
        <v>97</v>
      </c>
      <c r="V53" s="439">
        <f>SUM(V48:V52)</f>
        <v>92</v>
      </c>
      <c r="W53" s="442">
        <f t="shared" si="3"/>
        <v>132</v>
      </c>
      <c r="X53" s="439">
        <f t="shared" si="3"/>
        <v>60</v>
      </c>
      <c r="Y53" s="442">
        <f t="shared" si="3"/>
        <v>74</v>
      </c>
      <c r="Z53" s="443">
        <f t="shared" si="3"/>
        <v>93</v>
      </c>
      <c r="AA53" s="443">
        <f t="shared" si="3"/>
        <v>95</v>
      </c>
      <c r="AB53" s="444">
        <f t="shared" si="1"/>
        <v>102.2</v>
      </c>
      <c r="AC53" s="290"/>
    </row>
    <row r="54" spans="2:29">
      <c r="C54" s="435"/>
      <c r="D54" s="436"/>
      <c r="E54" s="381"/>
      <c r="F54" s="382"/>
      <c r="G54" s="381"/>
      <c r="H54" s="382"/>
      <c r="I54" s="381"/>
      <c r="J54" s="381"/>
      <c r="K54" s="381"/>
      <c r="L54" s="381"/>
      <c r="M54" s="384"/>
      <c r="N54" s="384"/>
      <c r="O54" s="381"/>
      <c r="P54" s="381"/>
      <c r="Q54" s="384"/>
      <c r="R54" s="381"/>
      <c r="S54" s="384"/>
      <c r="T54" s="381"/>
      <c r="U54" s="385"/>
      <c r="V54" s="386"/>
      <c r="W54" s="385"/>
      <c r="X54" s="386"/>
      <c r="Y54" s="385"/>
      <c r="Z54" s="386"/>
      <c r="AA54" s="382"/>
      <c r="AB54" s="387" t="str">
        <f t="shared" si="1"/>
        <v xml:space="preserve"> </v>
      </c>
      <c r="AC54" s="290"/>
    </row>
    <row r="55" spans="2:29">
      <c r="C55" s="435"/>
      <c r="D55" s="436" t="s">
        <v>256</v>
      </c>
      <c r="E55" s="381"/>
      <c r="F55" s="382"/>
      <c r="G55" s="381"/>
      <c r="H55" s="382"/>
      <c r="I55" s="381"/>
      <c r="J55" s="381"/>
      <c r="K55" s="381"/>
      <c r="L55" s="381"/>
      <c r="M55" s="384"/>
      <c r="N55" s="384"/>
      <c r="O55" s="381"/>
      <c r="P55" s="381"/>
      <c r="Q55" s="384"/>
      <c r="R55" s="381"/>
      <c r="S55" s="384"/>
      <c r="T55" s="381"/>
      <c r="U55" s="385"/>
      <c r="V55" s="386"/>
      <c r="W55" s="385"/>
      <c r="X55" s="386"/>
      <c r="Y55" s="385"/>
      <c r="Z55" s="386"/>
      <c r="AA55" s="382"/>
      <c r="AB55" s="387" t="str">
        <f t="shared" si="1"/>
        <v xml:space="preserve"> </v>
      </c>
      <c r="AC55" s="290"/>
    </row>
    <row r="56" spans="2:29" ht="25.5">
      <c r="B56" s="280">
        <v>3</v>
      </c>
      <c r="C56" s="355">
        <v>1</v>
      </c>
      <c r="D56" s="445" t="s">
        <v>257</v>
      </c>
      <c r="E56" s="446">
        <v>513</v>
      </c>
      <c r="F56" s="447">
        <v>620</v>
      </c>
      <c r="G56" s="448"/>
      <c r="H56" s="447">
        <v>270</v>
      </c>
      <c r="I56" s="448"/>
      <c r="J56" s="449">
        <v>210</v>
      </c>
      <c r="K56" s="450"/>
      <c r="L56" s="450"/>
      <c r="M56" s="451"/>
      <c r="N56" s="451"/>
      <c r="O56" s="450"/>
      <c r="P56" s="450"/>
      <c r="Q56" s="451"/>
      <c r="R56" s="450"/>
      <c r="S56" s="451"/>
      <c r="T56" s="450"/>
      <c r="U56" s="452"/>
      <c r="V56" s="453"/>
      <c r="W56" s="452"/>
      <c r="X56" s="453"/>
      <c r="Y56" s="452"/>
      <c r="Z56" s="453"/>
      <c r="AA56" s="454"/>
      <c r="AB56" s="455" t="str">
        <f t="shared" si="1"/>
        <v xml:space="preserve"> </v>
      </c>
      <c r="AC56" s="292"/>
    </row>
    <row r="57" spans="2:29" ht="25.5">
      <c r="B57" s="280">
        <v>3</v>
      </c>
      <c r="C57" s="355">
        <v>2</v>
      </c>
      <c r="D57" s="363" t="s">
        <v>258</v>
      </c>
      <c r="E57" s="371">
        <v>1864</v>
      </c>
      <c r="F57" s="372">
        <v>648</v>
      </c>
      <c r="G57" s="378"/>
      <c r="H57" s="372">
        <v>3557</v>
      </c>
      <c r="I57" s="378"/>
      <c r="J57" s="377">
        <v>12183</v>
      </c>
      <c r="K57" s="371">
        <v>16335</v>
      </c>
      <c r="L57" s="371">
        <v>17913</v>
      </c>
      <c r="M57" s="373">
        <f>16872+1900-500-525</f>
        <v>17747</v>
      </c>
      <c r="N57" s="373">
        <f>7500+500-920</f>
        <v>7080</v>
      </c>
      <c r="O57" s="371">
        <v>20634</v>
      </c>
      <c r="P57" s="371">
        <v>4981</v>
      </c>
      <c r="Q57" s="373">
        <f>8381+500</f>
        <v>8881</v>
      </c>
      <c r="R57" s="371">
        <v>3153</v>
      </c>
      <c r="S57" s="373">
        <f>5188+404</f>
        <v>5592</v>
      </c>
      <c r="T57" s="371">
        <v>3000</v>
      </c>
      <c r="U57" s="374">
        <f>4714+332</f>
        <v>5046</v>
      </c>
      <c r="V57" s="375">
        <v>4740</v>
      </c>
      <c r="W57" s="374">
        <f>4791+332</f>
        <v>5123</v>
      </c>
      <c r="X57" s="375">
        <v>9723</v>
      </c>
      <c r="Y57" s="374">
        <f>4275+7332-221</f>
        <v>11386</v>
      </c>
      <c r="Z57" s="375">
        <f>4100+5</f>
        <v>4105</v>
      </c>
      <c r="AA57" s="372">
        <f>4201-950</f>
        <v>3251</v>
      </c>
      <c r="AB57" s="376">
        <f t="shared" si="1"/>
        <v>79.2</v>
      </c>
      <c r="AC57" s="289"/>
    </row>
    <row r="58" spans="2:29">
      <c r="B58" s="280">
        <v>3</v>
      </c>
      <c r="C58" s="355">
        <v>3</v>
      </c>
      <c r="D58" s="363" t="s">
        <v>259</v>
      </c>
      <c r="E58" s="446">
        <v>80</v>
      </c>
      <c r="F58" s="447">
        <v>73</v>
      </c>
      <c r="G58" s="446"/>
      <c r="H58" s="447">
        <v>57</v>
      </c>
      <c r="I58" s="446"/>
      <c r="J58" s="449">
        <v>32</v>
      </c>
      <c r="K58" s="450">
        <v>0</v>
      </c>
      <c r="L58" s="450">
        <v>0</v>
      </c>
      <c r="M58" s="451">
        <v>0</v>
      </c>
      <c r="N58" s="451">
        <v>0</v>
      </c>
      <c r="O58" s="450">
        <v>0</v>
      </c>
      <c r="P58" s="450"/>
      <c r="Q58" s="451">
        <v>0</v>
      </c>
      <c r="R58" s="450"/>
      <c r="S58" s="451">
        <v>0</v>
      </c>
      <c r="T58" s="450"/>
      <c r="U58" s="452"/>
      <c r="V58" s="453"/>
      <c r="W58" s="452"/>
      <c r="X58" s="453"/>
      <c r="Y58" s="452"/>
      <c r="Z58" s="453"/>
      <c r="AA58" s="454"/>
      <c r="AB58" s="455" t="str">
        <f t="shared" si="1"/>
        <v xml:space="preserve"> </v>
      </c>
      <c r="AC58" s="292"/>
    </row>
    <row r="59" spans="2:29">
      <c r="B59" s="280">
        <v>3</v>
      </c>
      <c r="C59" s="355">
        <v>4</v>
      </c>
      <c r="D59" s="363" t="s">
        <v>260</v>
      </c>
      <c r="E59" s="371">
        <v>259</v>
      </c>
      <c r="F59" s="372">
        <f>59+84+1</f>
        <v>144</v>
      </c>
      <c r="G59" s="371"/>
      <c r="H59" s="372">
        <f>60+24</f>
        <v>84</v>
      </c>
      <c r="I59" s="371"/>
      <c r="J59" s="377">
        <v>61</v>
      </c>
      <c r="K59" s="371">
        <v>58</v>
      </c>
      <c r="L59" s="371">
        <v>43</v>
      </c>
      <c r="M59" s="373">
        <f>1800+60+200</f>
        <v>2060</v>
      </c>
      <c r="N59" s="373">
        <f>1800+41</f>
        <v>1841</v>
      </c>
      <c r="O59" s="371">
        <v>41</v>
      </c>
      <c r="P59" s="371">
        <v>41</v>
      </c>
      <c r="Q59" s="373">
        <f>1800+41</f>
        <v>1841</v>
      </c>
      <c r="R59" s="371">
        <v>37</v>
      </c>
      <c r="S59" s="373">
        <v>1841</v>
      </c>
      <c r="T59" s="371">
        <v>29</v>
      </c>
      <c r="U59" s="374">
        <f>1800+31-2</f>
        <v>1829</v>
      </c>
      <c r="V59" s="375">
        <v>24</v>
      </c>
      <c r="W59" s="374">
        <f>1800+29</f>
        <v>1829</v>
      </c>
      <c r="X59" s="375">
        <v>25</v>
      </c>
      <c r="Y59" s="374">
        <f>1800+25</f>
        <v>1825</v>
      </c>
      <c r="Z59" s="375">
        <v>25</v>
      </c>
      <c r="AA59" s="372">
        <v>21</v>
      </c>
      <c r="AB59" s="376">
        <f t="shared" si="1"/>
        <v>84</v>
      </c>
      <c r="AC59" s="289"/>
    </row>
    <row r="60" spans="2:29" ht="25.5">
      <c r="C60" s="456">
        <v>5</v>
      </c>
      <c r="D60" s="457" t="s">
        <v>292</v>
      </c>
      <c r="E60" s="458">
        <v>928</v>
      </c>
      <c r="F60" s="459">
        <f>317+707</f>
        <v>1024</v>
      </c>
      <c r="G60" s="458"/>
      <c r="H60" s="459">
        <f>272+717</f>
        <v>989</v>
      </c>
      <c r="I60" s="458"/>
      <c r="J60" s="458">
        <v>987</v>
      </c>
      <c r="K60" s="458">
        <v>1968</v>
      </c>
      <c r="L60" s="458">
        <v>2015</v>
      </c>
      <c r="M60" s="460">
        <f>1305+1114</f>
        <v>2419</v>
      </c>
      <c r="N60" s="460">
        <f>1216+1202</f>
        <v>2418</v>
      </c>
      <c r="O60" s="458">
        <v>2228</v>
      </c>
      <c r="P60" s="458">
        <v>2980</v>
      </c>
      <c r="Q60" s="460">
        <f>1900+1224+75</f>
        <v>3199</v>
      </c>
      <c r="R60" s="458">
        <v>2800</v>
      </c>
      <c r="S60" s="460">
        <f>1871+75+1193-19</f>
        <v>3120</v>
      </c>
      <c r="T60" s="458">
        <v>2089</v>
      </c>
      <c r="U60" s="461">
        <f>1142+1275-20</f>
        <v>2397</v>
      </c>
      <c r="V60" s="462">
        <v>1841</v>
      </c>
      <c r="W60" s="461">
        <f>592+1255</f>
        <v>1847</v>
      </c>
      <c r="X60" s="462">
        <v>2087</v>
      </c>
      <c r="Y60" s="461">
        <f>900+1255</f>
        <v>2155</v>
      </c>
      <c r="Z60" s="462">
        <f>1157+1555</f>
        <v>2712</v>
      </c>
      <c r="AA60" s="459">
        <f>1875+1562</f>
        <v>3437</v>
      </c>
      <c r="AB60" s="463">
        <f t="shared" si="1"/>
        <v>126.7</v>
      </c>
      <c r="AC60" s="293" t="s">
        <v>261</v>
      </c>
    </row>
    <row r="61" spans="2:29">
      <c r="C61" s="456"/>
      <c r="D61" s="457"/>
      <c r="E61" s="458"/>
      <c r="F61" s="459"/>
      <c r="G61" s="458"/>
      <c r="H61" s="459"/>
      <c r="I61" s="458"/>
      <c r="J61" s="458"/>
      <c r="K61" s="458"/>
      <c r="L61" s="458"/>
      <c r="M61" s="460"/>
      <c r="N61" s="460"/>
      <c r="O61" s="458"/>
      <c r="P61" s="458"/>
      <c r="Q61" s="460"/>
      <c r="R61" s="458"/>
      <c r="S61" s="460"/>
      <c r="T61" s="458"/>
      <c r="U61" s="461"/>
      <c r="V61" s="462"/>
      <c r="W61" s="461"/>
      <c r="X61" s="462"/>
      <c r="Y61" s="461"/>
      <c r="Z61" s="462"/>
      <c r="AA61" s="459"/>
      <c r="AB61" s="463" t="str">
        <f t="shared" si="1"/>
        <v xml:space="preserve"> </v>
      </c>
      <c r="AC61" s="293"/>
    </row>
    <row r="62" spans="2:29">
      <c r="C62" s="456">
        <v>6</v>
      </c>
      <c r="D62" s="457" t="s">
        <v>262</v>
      </c>
      <c r="E62" s="458"/>
      <c r="F62" s="459"/>
      <c r="G62" s="458"/>
      <c r="H62" s="459"/>
      <c r="I62" s="458"/>
      <c r="J62" s="458">
        <v>11249</v>
      </c>
      <c r="K62" s="458">
        <v>0</v>
      </c>
      <c r="L62" s="458"/>
      <c r="M62" s="460"/>
      <c r="N62" s="460"/>
      <c r="O62" s="458"/>
      <c r="P62" s="458"/>
      <c r="Q62" s="460"/>
      <c r="R62" s="458"/>
      <c r="S62" s="460"/>
      <c r="T62" s="458"/>
      <c r="U62" s="461"/>
      <c r="V62" s="462"/>
      <c r="W62" s="461"/>
      <c r="X62" s="462"/>
      <c r="Y62" s="461"/>
      <c r="Z62" s="462"/>
      <c r="AA62" s="459"/>
      <c r="AB62" s="463" t="str">
        <f t="shared" si="1"/>
        <v xml:space="preserve"> </v>
      </c>
      <c r="AC62" s="293"/>
    </row>
    <row r="63" spans="2:29" ht="13.5" thickBot="1">
      <c r="B63" s="280">
        <v>3</v>
      </c>
      <c r="C63" s="464">
        <v>7</v>
      </c>
      <c r="D63" s="465" t="s">
        <v>263</v>
      </c>
      <c r="E63" s="466"/>
      <c r="F63" s="467"/>
      <c r="G63" s="466"/>
      <c r="H63" s="467"/>
      <c r="I63" s="466"/>
      <c r="J63" s="466"/>
      <c r="K63" s="466">
        <v>16053</v>
      </c>
      <c r="L63" s="466">
        <v>26330</v>
      </c>
      <c r="M63" s="468">
        <f>28400-1071</f>
        <v>27329</v>
      </c>
      <c r="N63" s="468">
        <f>30135+200</f>
        <v>30335</v>
      </c>
      <c r="O63" s="466">
        <v>26345</v>
      </c>
      <c r="P63" s="466">
        <v>27375</v>
      </c>
      <c r="Q63" s="468">
        <f>30013+227</f>
        <v>30240</v>
      </c>
      <c r="R63" s="466">
        <v>30591</v>
      </c>
      <c r="S63" s="468">
        <v>30193</v>
      </c>
      <c r="T63" s="466">
        <v>31765</v>
      </c>
      <c r="U63" s="469">
        <v>35200</v>
      </c>
      <c r="V63" s="470">
        <v>32309</v>
      </c>
      <c r="W63" s="469">
        <v>34940</v>
      </c>
      <c r="X63" s="470">
        <v>36327</v>
      </c>
      <c r="Y63" s="469">
        <v>35250</v>
      </c>
      <c r="Z63" s="470">
        <f>35500-200</f>
        <v>35300</v>
      </c>
      <c r="AA63" s="467">
        <v>36100</v>
      </c>
      <c r="AB63" s="471">
        <f t="shared" si="1"/>
        <v>102.3</v>
      </c>
      <c r="AC63" s="293"/>
    </row>
    <row r="64" spans="2:29" ht="13.5" thickBot="1">
      <c r="C64" s="437"/>
      <c r="D64" s="438" t="s">
        <v>255</v>
      </c>
      <c r="E64" s="472">
        <f>SUM(E56:E63)</f>
        <v>3644</v>
      </c>
      <c r="F64" s="473">
        <f>SUM(F56:F63)</f>
        <v>2509</v>
      </c>
      <c r="G64" s="472"/>
      <c r="H64" s="473">
        <f>SUM(H56:H63)</f>
        <v>4957</v>
      </c>
      <c r="I64" s="472"/>
      <c r="J64" s="472">
        <f t="shared" ref="J64:AA64" si="4">SUM(J56:J63)</f>
        <v>24722</v>
      </c>
      <c r="K64" s="472">
        <f t="shared" si="4"/>
        <v>34414</v>
      </c>
      <c r="L64" s="472">
        <f t="shared" si="4"/>
        <v>46301</v>
      </c>
      <c r="M64" s="474">
        <f t="shared" si="4"/>
        <v>49555</v>
      </c>
      <c r="N64" s="474">
        <f t="shared" si="4"/>
        <v>41674</v>
      </c>
      <c r="O64" s="472">
        <f t="shared" si="4"/>
        <v>49248</v>
      </c>
      <c r="P64" s="472">
        <f t="shared" si="4"/>
        <v>35377</v>
      </c>
      <c r="Q64" s="474">
        <f t="shared" si="4"/>
        <v>44161</v>
      </c>
      <c r="R64" s="472">
        <f t="shared" si="4"/>
        <v>36581</v>
      </c>
      <c r="S64" s="474">
        <f t="shared" si="4"/>
        <v>40746</v>
      </c>
      <c r="T64" s="475">
        <f t="shared" si="4"/>
        <v>36883</v>
      </c>
      <c r="U64" s="476">
        <f t="shared" si="4"/>
        <v>44472</v>
      </c>
      <c r="V64" s="475">
        <f t="shared" si="4"/>
        <v>38914</v>
      </c>
      <c r="W64" s="476">
        <f t="shared" si="4"/>
        <v>43739</v>
      </c>
      <c r="X64" s="475">
        <f t="shared" si="4"/>
        <v>48162</v>
      </c>
      <c r="Y64" s="476">
        <f t="shared" si="4"/>
        <v>50616</v>
      </c>
      <c r="Z64" s="475">
        <f t="shared" si="4"/>
        <v>42142</v>
      </c>
      <c r="AA64" s="475">
        <f t="shared" si="4"/>
        <v>42809</v>
      </c>
      <c r="AB64" s="477">
        <f t="shared" si="1"/>
        <v>101.6</v>
      </c>
      <c r="AC64" s="293"/>
    </row>
    <row r="65" spans="3:30">
      <c r="C65" s="478"/>
      <c r="D65" s="479"/>
      <c r="E65" s="364"/>
      <c r="F65" s="365"/>
      <c r="G65" s="364"/>
      <c r="H65" s="365"/>
      <c r="I65" s="364"/>
      <c r="J65" s="364"/>
      <c r="K65" s="364"/>
      <c r="L65" s="364"/>
      <c r="M65" s="367"/>
      <c r="N65" s="367"/>
      <c r="O65" s="364"/>
      <c r="P65" s="364"/>
      <c r="Q65" s="367"/>
      <c r="R65" s="364"/>
      <c r="S65" s="367"/>
      <c r="T65" s="369"/>
      <c r="U65" s="368"/>
      <c r="V65" s="369"/>
      <c r="W65" s="368"/>
      <c r="X65" s="369"/>
      <c r="Y65" s="368"/>
      <c r="Z65" s="369"/>
      <c r="AA65" s="369"/>
      <c r="AB65" s="370" t="str">
        <f t="shared" si="1"/>
        <v xml:space="preserve"> </v>
      </c>
      <c r="AC65" s="293"/>
    </row>
    <row r="66" spans="3:30" ht="32.25" thickBot="1">
      <c r="C66" s="480"/>
      <c r="D66" s="481" t="s">
        <v>264</v>
      </c>
      <c r="E66" s="482">
        <f>SUM(E64,E53)</f>
        <v>3962</v>
      </c>
      <c r="F66" s="483">
        <f>SUM(F64,F53)</f>
        <v>3035</v>
      </c>
      <c r="G66" s="482"/>
      <c r="H66" s="483">
        <f>SUM(H64,H53)</f>
        <v>5473</v>
      </c>
      <c r="I66" s="482"/>
      <c r="J66" s="482">
        <f t="shared" ref="J66:Z66" si="5">SUM(J64,J53)</f>
        <v>25251</v>
      </c>
      <c r="K66" s="482">
        <f t="shared" si="5"/>
        <v>34940</v>
      </c>
      <c r="L66" s="482">
        <f t="shared" si="5"/>
        <v>46692</v>
      </c>
      <c r="M66" s="484">
        <f t="shared" si="5"/>
        <v>50004</v>
      </c>
      <c r="N66" s="484">
        <f t="shared" si="5"/>
        <v>42023</v>
      </c>
      <c r="O66" s="482">
        <f>SUM(O64,O53)</f>
        <v>49463</v>
      </c>
      <c r="P66" s="482">
        <f>SUM(P64,P53)</f>
        <v>35499</v>
      </c>
      <c r="Q66" s="484">
        <f t="shared" si="5"/>
        <v>44317</v>
      </c>
      <c r="R66" s="482">
        <f t="shared" si="5"/>
        <v>36647</v>
      </c>
      <c r="S66" s="484">
        <f t="shared" si="5"/>
        <v>40866</v>
      </c>
      <c r="T66" s="485">
        <f t="shared" si="5"/>
        <v>36939</v>
      </c>
      <c r="U66" s="486">
        <f t="shared" si="5"/>
        <v>44569</v>
      </c>
      <c r="V66" s="485">
        <f t="shared" si="5"/>
        <v>39006</v>
      </c>
      <c r="W66" s="486">
        <f t="shared" si="5"/>
        <v>43871</v>
      </c>
      <c r="X66" s="485">
        <f>SUM(X64,X53)</f>
        <v>48222</v>
      </c>
      <c r="Y66" s="486">
        <f t="shared" si="5"/>
        <v>50690</v>
      </c>
      <c r="Z66" s="485">
        <f t="shared" si="5"/>
        <v>42235</v>
      </c>
      <c r="AA66" s="485">
        <f>SUM(AA64,AA53)</f>
        <v>42904</v>
      </c>
      <c r="AB66" s="487">
        <f t="shared" si="1"/>
        <v>101.6</v>
      </c>
      <c r="AC66" s="294"/>
    </row>
    <row r="67" spans="3:30" ht="13.5" thickBot="1">
      <c r="C67" s="488"/>
      <c r="D67" s="489"/>
      <c r="E67" s="490"/>
      <c r="F67" s="491"/>
      <c r="G67" s="490"/>
      <c r="H67" s="491"/>
      <c r="I67" s="490"/>
      <c r="J67" s="490"/>
      <c r="K67" s="490"/>
      <c r="L67" s="490"/>
      <c r="M67" s="492"/>
      <c r="N67" s="492"/>
      <c r="O67" s="490"/>
      <c r="P67" s="490"/>
      <c r="Q67" s="492"/>
      <c r="R67" s="490"/>
      <c r="S67" s="492"/>
      <c r="T67" s="493"/>
      <c r="U67" s="494"/>
      <c r="V67" s="493"/>
      <c r="W67" s="494"/>
      <c r="X67" s="493"/>
      <c r="Y67" s="494"/>
      <c r="Z67" s="493"/>
      <c r="AA67" s="493"/>
      <c r="AB67" s="495" t="str">
        <f t="shared" si="1"/>
        <v xml:space="preserve"> </v>
      </c>
      <c r="AC67" s="289"/>
    </row>
    <row r="68" spans="3:30" ht="20.25" customHeight="1" thickBot="1">
      <c r="C68" s="496"/>
      <c r="D68" s="497" t="s">
        <v>265</v>
      </c>
      <c r="E68" s="498">
        <f>SUM(E66,E44)</f>
        <v>335899</v>
      </c>
      <c r="F68" s="499">
        <f>SUM(F66,F44)</f>
        <v>354541</v>
      </c>
      <c r="G68" s="498"/>
      <c r="H68" s="499">
        <f>SUM(H66,H44)</f>
        <v>382501</v>
      </c>
      <c r="I68" s="498"/>
      <c r="J68" s="498">
        <f t="shared" ref="J68:Z68" si="6">SUM(J66,J44)</f>
        <v>426594</v>
      </c>
      <c r="K68" s="498">
        <f t="shared" si="6"/>
        <v>453192</v>
      </c>
      <c r="L68" s="498">
        <f t="shared" si="6"/>
        <v>471742</v>
      </c>
      <c r="M68" s="500">
        <f t="shared" si="6"/>
        <v>481255</v>
      </c>
      <c r="N68" s="500">
        <f t="shared" si="6"/>
        <v>501950</v>
      </c>
      <c r="O68" s="498">
        <f>SUM(O66,O44)</f>
        <v>523194</v>
      </c>
      <c r="P68" s="498">
        <f>SUM(P66,P44)</f>
        <v>554470</v>
      </c>
      <c r="Q68" s="500">
        <f t="shared" si="6"/>
        <v>569789</v>
      </c>
      <c r="R68" s="498">
        <f t="shared" si="6"/>
        <v>581802</v>
      </c>
      <c r="S68" s="500">
        <f t="shared" si="6"/>
        <v>581440</v>
      </c>
      <c r="T68" s="501">
        <f t="shared" si="6"/>
        <v>621981</v>
      </c>
      <c r="U68" s="502">
        <f t="shared" si="6"/>
        <v>616936</v>
      </c>
      <c r="V68" s="501">
        <f t="shared" si="6"/>
        <v>628108</v>
      </c>
      <c r="W68" s="502">
        <f t="shared" si="6"/>
        <v>652836</v>
      </c>
      <c r="X68" s="501">
        <f>SUM(X66,X44)</f>
        <v>652742</v>
      </c>
      <c r="Y68" s="502">
        <f t="shared" si="6"/>
        <v>679634</v>
      </c>
      <c r="Z68" s="501">
        <f t="shared" si="6"/>
        <v>690799</v>
      </c>
      <c r="AA68" s="501">
        <f>SUM(AA66,AA44)</f>
        <v>689765</v>
      </c>
      <c r="AB68" s="503">
        <f t="shared" si="1"/>
        <v>99.9</v>
      </c>
      <c r="AC68" s="291"/>
    </row>
    <row r="69" spans="3:30" ht="13.5" thickTop="1">
      <c r="C69" s="504"/>
      <c r="D69" s="505"/>
      <c r="E69" s="506"/>
      <c r="F69" s="506"/>
      <c r="G69" s="506"/>
      <c r="H69" s="506"/>
      <c r="I69" s="506"/>
      <c r="J69" s="506"/>
      <c r="K69" s="506"/>
      <c r="L69" s="506"/>
      <c r="M69" s="506"/>
      <c r="N69" s="507"/>
      <c r="O69" s="506"/>
      <c r="P69" s="506"/>
      <c r="Q69" s="506"/>
      <c r="R69" s="506"/>
      <c r="S69" s="508"/>
      <c r="T69" s="506"/>
      <c r="U69" s="506"/>
      <c r="V69" s="506"/>
      <c r="W69" s="506"/>
      <c r="X69" s="506"/>
      <c r="Y69" s="506"/>
      <c r="Z69" s="506"/>
      <c r="AA69" s="506"/>
      <c r="AB69" s="506"/>
      <c r="AC69" s="295"/>
    </row>
    <row r="70" spans="3:30">
      <c r="C70" s="504"/>
      <c r="D70" s="509" t="s">
        <v>199</v>
      </c>
      <c r="E70" s="510"/>
      <c r="F70" s="511"/>
      <c r="G70" s="510"/>
      <c r="H70" s="510"/>
      <c r="I70" s="510"/>
      <c r="J70" s="510"/>
      <c r="K70" s="510"/>
      <c r="L70" s="510"/>
      <c r="M70" s="510"/>
      <c r="N70" s="512"/>
      <c r="O70" s="510"/>
      <c r="P70" s="510"/>
      <c r="Q70" s="510"/>
      <c r="R70" s="510"/>
      <c r="S70" s="510"/>
      <c r="T70" s="510"/>
      <c r="U70" s="510"/>
      <c r="V70" s="510"/>
      <c r="W70" s="510"/>
      <c r="X70" s="510"/>
      <c r="Y70" s="510"/>
      <c r="Z70" s="510"/>
      <c r="AA70" s="510"/>
      <c r="AB70" s="510"/>
      <c r="AC70" s="296"/>
    </row>
    <row r="71" spans="3:30">
      <c r="C71" s="504"/>
      <c r="D71" s="509" t="s">
        <v>266</v>
      </c>
      <c r="E71" s="510"/>
      <c r="F71" s="510"/>
      <c r="G71" s="510"/>
      <c r="H71" s="510"/>
      <c r="I71" s="510"/>
      <c r="J71" s="510"/>
      <c r="K71" s="510"/>
      <c r="L71" s="510"/>
      <c r="M71" s="510"/>
      <c r="N71" s="512"/>
      <c r="O71" s="510"/>
      <c r="P71" s="510"/>
      <c r="Q71" s="510"/>
      <c r="R71" s="510"/>
      <c r="S71" s="510"/>
      <c r="T71" s="510"/>
      <c r="U71" s="510"/>
      <c r="V71" s="510"/>
      <c r="W71" s="510"/>
      <c r="X71" s="510"/>
      <c r="Y71" s="510"/>
      <c r="Z71" s="510"/>
      <c r="AA71" s="510"/>
      <c r="AB71" s="510"/>
      <c r="AC71" s="296"/>
    </row>
    <row r="72" spans="3:30">
      <c r="C72" s="504"/>
      <c r="D72" s="513" t="s">
        <v>267</v>
      </c>
      <c r="E72" s="510"/>
      <c r="F72" s="510"/>
      <c r="G72" s="510"/>
      <c r="H72" s="510"/>
      <c r="I72" s="510"/>
      <c r="J72" s="510"/>
      <c r="K72" s="510"/>
      <c r="L72" s="510"/>
      <c r="M72" s="510"/>
      <c r="N72" s="512"/>
      <c r="O72" s="510"/>
      <c r="P72" s="510"/>
      <c r="Q72" s="510"/>
      <c r="R72" s="510"/>
      <c r="S72" s="510"/>
      <c r="T72" s="510"/>
      <c r="U72" s="510"/>
      <c r="V72" s="510"/>
      <c r="W72" s="510"/>
      <c r="X72" s="510"/>
      <c r="Y72" s="510"/>
      <c r="Z72" s="510"/>
      <c r="AA72" s="510"/>
      <c r="AB72" s="510"/>
      <c r="AC72" s="296"/>
    </row>
    <row r="73" spans="3:30">
      <c r="C73" s="504"/>
      <c r="D73" s="513" t="s">
        <v>268</v>
      </c>
      <c r="E73" s="510"/>
      <c r="F73" s="510"/>
      <c r="G73" s="510"/>
      <c r="H73" s="510"/>
      <c r="I73" s="510"/>
      <c r="J73" s="510"/>
      <c r="K73" s="510"/>
      <c r="L73" s="510"/>
      <c r="M73" s="510"/>
      <c r="N73" s="512"/>
      <c r="O73" s="510"/>
      <c r="P73" s="510"/>
      <c r="Q73" s="510"/>
      <c r="R73" s="510"/>
      <c r="S73" s="510"/>
      <c r="T73" s="510"/>
      <c r="U73" s="510"/>
      <c r="V73" s="510"/>
      <c r="W73" s="510"/>
      <c r="X73" s="510"/>
      <c r="Y73" s="510"/>
      <c r="Z73" s="510"/>
      <c r="AA73" s="510"/>
      <c r="AB73" s="510"/>
      <c r="AC73" s="296"/>
      <c r="AD73" s="296"/>
    </row>
    <row r="74" spans="3:30">
      <c r="C74" s="504"/>
      <c r="D74" s="514" t="s">
        <v>269</v>
      </c>
      <c r="E74" s="510"/>
      <c r="F74" s="510"/>
      <c r="G74" s="510"/>
      <c r="H74" s="510"/>
      <c r="I74" s="510"/>
      <c r="J74" s="510"/>
      <c r="K74" s="510"/>
      <c r="L74" s="510"/>
      <c r="M74" s="510"/>
      <c r="N74" s="512"/>
      <c r="O74" s="510"/>
      <c r="P74" s="510"/>
      <c r="Q74" s="510"/>
      <c r="R74" s="510"/>
      <c r="S74" s="510"/>
      <c r="T74" s="510"/>
      <c r="U74" s="510"/>
      <c r="V74" s="510"/>
      <c r="W74" s="510"/>
      <c r="X74" s="510"/>
      <c r="Y74" s="510"/>
      <c r="Z74" s="510"/>
      <c r="AA74" s="510"/>
      <c r="AB74" s="510"/>
      <c r="AC74" s="296"/>
      <c r="AD74" s="296"/>
    </row>
    <row r="75" spans="3:30">
      <c r="C75" s="504"/>
      <c r="D75" s="514" t="s">
        <v>270</v>
      </c>
      <c r="E75" s="510"/>
      <c r="F75" s="510"/>
      <c r="G75" s="510"/>
      <c r="H75" s="510"/>
      <c r="I75" s="510"/>
      <c r="J75" s="510"/>
      <c r="K75" s="510"/>
      <c r="L75" s="510"/>
      <c r="M75" s="510"/>
      <c r="N75" s="512"/>
      <c r="O75" s="510"/>
      <c r="P75" s="510"/>
      <c r="Q75" s="510"/>
      <c r="R75" s="510"/>
      <c r="S75" s="510"/>
      <c r="T75" s="510"/>
      <c r="U75" s="510"/>
      <c r="V75" s="510"/>
      <c r="W75" s="510"/>
      <c r="X75" s="510"/>
      <c r="Y75" s="510"/>
      <c r="Z75" s="510"/>
      <c r="AA75" s="510"/>
      <c r="AB75" s="510"/>
      <c r="AC75" s="296"/>
      <c r="AD75" s="296"/>
    </row>
    <row r="76" spans="3:30">
      <c r="C76" s="504"/>
      <c r="D76" s="514" t="s">
        <v>271</v>
      </c>
      <c r="E76" s="510"/>
      <c r="F76" s="510"/>
      <c r="G76" s="510"/>
      <c r="H76" s="510"/>
      <c r="I76" s="510"/>
      <c r="J76" s="510"/>
      <c r="K76" s="510"/>
      <c r="L76" s="510"/>
      <c r="M76" s="510"/>
      <c r="N76" s="512"/>
      <c r="O76" s="510"/>
      <c r="P76" s="510"/>
      <c r="Q76" s="510"/>
      <c r="R76" s="510"/>
      <c r="S76" s="510"/>
      <c r="T76" s="510"/>
      <c r="U76" s="510"/>
      <c r="V76" s="510"/>
      <c r="W76" s="510"/>
      <c r="X76" s="510"/>
      <c r="Y76" s="510"/>
      <c r="Z76" s="510"/>
      <c r="AA76" s="510"/>
      <c r="AB76" s="510"/>
      <c r="AC76" s="296"/>
      <c r="AD76" s="296"/>
    </row>
    <row r="77" spans="3:30">
      <c r="C77" s="504"/>
      <c r="D77" s="514" t="s">
        <v>272</v>
      </c>
      <c r="E77" s="510"/>
      <c r="F77" s="510"/>
      <c r="G77" s="510"/>
      <c r="H77" s="510"/>
      <c r="I77" s="510"/>
      <c r="J77" s="510"/>
      <c r="K77" s="510"/>
      <c r="L77" s="510"/>
      <c r="M77" s="510"/>
      <c r="N77" s="512"/>
      <c r="O77" s="510"/>
      <c r="P77" s="510"/>
      <c r="Q77" s="510"/>
      <c r="R77" s="510"/>
      <c r="S77" s="510"/>
      <c r="T77" s="510"/>
      <c r="U77" s="510"/>
      <c r="V77" s="510"/>
      <c r="W77" s="510"/>
      <c r="X77" s="510"/>
      <c r="Y77" s="510"/>
      <c r="Z77" s="510"/>
      <c r="AA77" s="510"/>
      <c r="AB77" s="510"/>
      <c r="AC77" s="296"/>
      <c r="AD77" s="296"/>
    </row>
    <row r="78" spans="3:30">
      <c r="C78" s="504"/>
      <c r="D78" s="514" t="s">
        <v>273</v>
      </c>
      <c r="E78" s="510"/>
      <c r="F78" s="510"/>
      <c r="G78" s="510"/>
      <c r="H78" s="510"/>
      <c r="I78" s="510"/>
      <c r="J78" s="510"/>
      <c r="K78" s="510"/>
      <c r="L78" s="510"/>
      <c r="M78" s="510"/>
      <c r="N78" s="512"/>
      <c r="O78" s="510"/>
      <c r="P78" s="510"/>
      <c r="Q78" s="510"/>
      <c r="R78" s="510"/>
      <c r="S78" s="510"/>
      <c r="T78" s="510"/>
      <c r="U78" s="510"/>
      <c r="V78" s="510"/>
      <c r="W78" s="510"/>
      <c r="X78" s="510"/>
      <c r="Y78" s="510"/>
      <c r="Z78" s="510"/>
      <c r="AA78" s="510"/>
      <c r="AB78" s="510"/>
      <c r="AC78" s="296"/>
      <c r="AD78" s="296"/>
    </row>
    <row r="79" spans="3:30">
      <c r="C79" s="504"/>
      <c r="D79" s="514"/>
      <c r="E79" s="510"/>
      <c r="F79" s="510"/>
      <c r="G79" s="510"/>
      <c r="H79" s="510"/>
      <c r="I79" s="510"/>
      <c r="J79" s="510"/>
      <c r="K79" s="510"/>
      <c r="L79" s="510"/>
      <c r="M79" s="510"/>
      <c r="N79" s="512"/>
      <c r="O79" s="510"/>
      <c r="P79" s="510"/>
      <c r="Q79" s="510"/>
      <c r="R79" s="510"/>
      <c r="S79" s="510"/>
      <c r="T79" s="510"/>
      <c r="U79" s="510"/>
      <c r="V79" s="510"/>
      <c r="W79" s="510"/>
      <c r="X79" s="510"/>
      <c r="Y79" s="510"/>
      <c r="Z79" s="510"/>
      <c r="AA79" s="510"/>
      <c r="AB79" s="510"/>
      <c r="AC79" s="296"/>
      <c r="AD79" s="296"/>
    </row>
    <row r="80" spans="3:30">
      <c r="C80" s="504"/>
      <c r="D80" s="515" t="s">
        <v>207</v>
      </c>
      <c r="E80" s="516"/>
      <c r="F80" s="516"/>
      <c r="G80" s="516"/>
      <c r="H80" s="516"/>
      <c r="I80" s="516"/>
      <c r="J80" s="516"/>
      <c r="K80" s="516"/>
      <c r="L80" s="516"/>
      <c r="M80" s="517"/>
      <c r="N80" s="518"/>
      <c r="O80" s="517"/>
      <c r="P80" s="517"/>
      <c r="Q80" s="517"/>
      <c r="R80" s="517"/>
      <c r="S80" s="330"/>
      <c r="T80" s="517"/>
      <c r="U80" s="517"/>
      <c r="V80" s="517"/>
      <c r="W80" s="517"/>
      <c r="X80" s="517"/>
      <c r="Y80" s="517"/>
      <c r="Z80" s="517"/>
      <c r="AA80" s="517"/>
      <c r="AB80" s="517"/>
      <c r="AC80" s="297"/>
    </row>
    <row r="81" spans="3:29">
      <c r="C81" s="504"/>
      <c r="D81" s="519" t="s">
        <v>208</v>
      </c>
      <c r="E81" s="520">
        <v>2189.1999999999998</v>
      </c>
      <c r="F81" s="521">
        <v>2352.1999999999998</v>
      </c>
      <c r="G81" s="522"/>
      <c r="H81" s="521">
        <v>2464.4</v>
      </c>
      <c r="I81" s="522"/>
      <c r="J81" s="520">
        <v>2577.1</v>
      </c>
      <c r="K81" s="520">
        <v>2814.8</v>
      </c>
      <c r="L81" s="523">
        <v>2984</v>
      </c>
      <c r="M81" s="523">
        <f>2884+36+3-16</f>
        <v>2907</v>
      </c>
      <c r="N81" s="524">
        <v>3202</v>
      </c>
      <c r="O81" s="523">
        <v>3353</v>
      </c>
      <c r="P81" s="525">
        <v>3663</v>
      </c>
      <c r="Q81" s="525">
        <f>3443*0+3516</f>
        <v>3516</v>
      </c>
      <c r="R81" s="525">
        <v>3848</v>
      </c>
      <c r="S81" s="525">
        <v>3827</v>
      </c>
      <c r="T81" s="525">
        <v>3739</v>
      </c>
      <c r="U81" s="524">
        <v>3634</v>
      </c>
      <c r="V81" s="525">
        <v>3775</v>
      </c>
      <c r="W81" s="524">
        <v>3678</v>
      </c>
      <c r="X81" s="525">
        <v>3808</v>
      </c>
      <c r="Y81" s="524">
        <v>3729</v>
      </c>
      <c r="Z81" s="525">
        <v>3820</v>
      </c>
      <c r="AA81" s="525">
        <v>3882</v>
      </c>
      <c r="AB81" s="526"/>
      <c r="AC81" s="260"/>
    </row>
    <row r="82" spans="3:29">
      <c r="C82" s="504"/>
      <c r="D82" s="405" t="s">
        <v>274</v>
      </c>
      <c r="E82" s="527">
        <f>E11/(E$81*1000)*100</f>
        <v>12.211401425178147</v>
      </c>
      <c r="F82" s="528">
        <f>F11/(F$81*1000)*100</f>
        <v>12.120100331604455</v>
      </c>
      <c r="G82" s="527"/>
      <c r="H82" s="529">
        <f>H11/(H$81*1000)*100</f>
        <v>12.385651679922091</v>
      </c>
      <c r="I82" s="527"/>
      <c r="J82" s="527">
        <f t="shared" ref="J82:Y82" si="7">J11/(J$81*1000)*100</f>
        <v>12.500097008265104</v>
      </c>
      <c r="K82" s="527">
        <f t="shared" si="7"/>
        <v>11.756927668040358</v>
      </c>
      <c r="L82" s="527">
        <f t="shared" si="7"/>
        <v>11.511461126005361</v>
      </c>
      <c r="M82" s="527">
        <f t="shared" si="7"/>
        <v>11.767595459236325</v>
      </c>
      <c r="N82" s="530">
        <f t="shared" si="7"/>
        <v>11.324109931292941</v>
      </c>
      <c r="O82" s="527">
        <f>O11/(O$81*1000)*100</f>
        <v>11.122994333432747</v>
      </c>
      <c r="P82" s="527">
        <f>P11/(P$81*1000)*100</f>
        <v>11.281545181545182</v>
      </c>
      <c r="Q82" s="527">
        <f t="shared" si="7"/>
        <v>11.842007963594995</v>
      </c>
      <c r="R82" s="527">
        <f t="shared" si="7"/>
        <v>11.154287941787942</v>
      </c>
      <c r="S82" s="527">
        <f t="shared" si="7"/>
        <v>11.025868826757252</v>
      </c>
      <c r="T82" s="527">
        <f t="shared" si="7"/>
        <v>12.271783899438352</v>
      </c>
      <c r="U82" s="530">
        <f>U11/(U$81*1000)*100</f>
        <v>12.362685745734728</v>
      </c>
      <c r="V82" s="527">
        <f>V11/(V$81*1000)*100</f>
        <v>12.223205298013246</v>
      </c>
      <c r="W82" s="530">
        <f t="shared" si="7"/>
        <v>12.594344752582925</v>
      </c>
      <c r="X82" s="531">
        <f>X11/(X$81*1000)*100</f>
        <v>12.457431722689076</v>
      </c>
      <c r="Y82" s="530">
        <f t="shared" si="7"/>
        <v>12.769106999195495</v>
      </c>
      <c r="Z82" s="527">
        <f>Z11/(Z$81*1000)*100</f>
        <v>13.006570680628272</v>
      </c>
      <c r="AA82" s="527">
        <f>AA11/(AA$81*1000)*100</f>
        <v>13.026429675425039</v>
      </c>
      <c r="AB82" s="532"/>
      <c r="AC82" s="265"/>
    </row>
    <row r="83" spans="3:29">
      <c r="C83" s="504"/>
      <c r="D83" s="533" t="s">
        <v>275</v>
      </c>
      <c r="E83" s="534">
        <f>E44/(E$81*1000)*100</f>
        <v>15.162479444545953</v>
      </c>
      <c r="F83" s="535">
        <f>F44/(F$81*1000)*100</f>
        <v>14.94371226936485</v>
      </c>
      <c r="G83" s="534"/>
      <c r="H83" s="536">
        <f>H44/(H$81*1000)*100</f>
        <v>15.29897743872748</v>
      </c>
      <c r="I83" s="534"/>
      <c r="J83" s="534">
        <f t="shared" ref="J83:Y83" si="8">J44/(J$81*1000)*100</f>
        <v>15.573435256683871</v>
      </c>
      <c r="K83" s="534">
        <f t="shared" si="8"/>
        <v>14.859030837004406</v>
      </c>
      <c r="L83" s="534">
        <f t="shared" si="8"/>
        <v>14.244302949061662</v>
      </c>
      <c r="M83" s="534">
        <f t="shared" si="8"/>
        <v>14.834915720674235</v>
      </c>
      <c r="N83" s="537">
        <f t="shared" si="8"/>
        <v>14.36374141161774</v>
      </c>
      <c r="O83" s="534">
        <f>O44/(O$81*1000)*100</f>
        <v>14.12857142857143</v>
      </c>
      <c r="P83" s="534">
        <f>P44/(P$81*1000)*100</f>
        <v>14.167922467922466</v>
      </c>
      <c r="Q83" s="534">
        <f t="shared" si="8"/>
        <v>14.945164960182025</v>
      </c>
      <c r="R83" s="534">
        <f t="shared" si="8"/>
        <v>14.16722972972973</v>
      </c>
      <c r="S83" s="534">
        <f t="shared" si="8"/>
        <v>14.125267833812385</v>
      </c>
      <c r="T83" s="534">
        <f t="shared" si="8"/>
        <v>15.647017919229741</v>
      </c>
      <c r="U83" s="537">
        <f>U44/(U$81*1000)*100</f>
        <v>15.750330214639515</v>
      </c>
      <c r="V83" s="534">
        <f>V44/(V$81*1000)*100</f>
        <v>15.605350993377485</v>
      </c>
      <c r="W83" s="537">
        <f t="shared" si="8"/>
        <v>16.556960304513321</v>
      </c>
      <c r="X83" s="538">
        <f>X44/(X$81*1000)*100</f>
        <v>15.875</v>
      </c>
      <c r="Y83" s="537">
        <f t="shared" si="8"/>
        <v>16.866291230893001</v>
      </c>
      <c r="Z83" s="534">
        <f>Z44/(Z$81*1000)*100</f>
        <v>16.978115183246071</v>
      </c>
      <c r="AA83" s="534">
        <f>AA44/(AA$81*1000)*100</f>
        <v>16.663086038124678</v>
      </c>
      <c r="AB83" s="532"/>
      <c r="AC83" s="265"/>
    </row>
    <row r="84" spans="3:29">
      <c r="C84" s="504"/>
      <c r="D84" s="533" t="s">
        <v>276</v>
      </c>
      <c r="E84" s="534">
        <f>E66/(E$81*1000)*100</f>
        <v>0.18097935318837932</v>
      </c>
      <c r="F84" s="535">
        <f>F66/(F$81*1000)*100</f>
        <v>0.12902814386531758</v>
      </c>
      <c r="G84" s="534"/>
      <c r="H84" s="536">
        <f>H66/(H$81*1000)*100</f>
        <v>0.22208245414705405</v>
      </c>
      <c r="I84" s="534"/>
      <c r="J84" s="534">
        <f t="shared" ref="J84:Y84" si="9">J66/(J$81*1000)*100</f>
        <v>0.97982228085832912</v>
      </c>
      <c r="K84" s="534">
        <f t="shared" si="9"/>
        <v>1.2412960068210885</v>
      </c>
      <c r="L84" s="534">
        <f t="shared" si="9"/>
        <v>1.5647453083109921</v>
      </c>
      <c r="M84" s="534">
        <f t="shared" si="9"/>
        <v>1.7201238390092879</v>
      </c>
      <c r="N84" s="537">
        <f t="shared" si="9"/>
        <v>1.3123985009369143</v>
      </c>
      <c r="O84" s="534">
        <f>O66/(O$81*1000)*100</f>
        <v>1.4751864002385924</v>
      </c>
      <c r="P84" s="534">
        <f>P66/(P$81*1000)*100</f>
        <v>0.96912366912366921</v>
      </c>
      <c r="Q84" s="534">
        <f t="shared" si="9"/>
        <v>1.2604379977246871</v>
      </c>
      <c r="R84" s="534">
        <f t="shared" si="9"/>
        <v>0.95236486486486482</v>
      </c>
      <c r="S84" s="534">
        <f t="shared" si="9"/>
        <v>1.0678338123856808</v>
      </c>
      <c r="T84" s="534">
        <f t="shared" si="9"/>
        <v>0.9879379513238834</v>
      </c>
      <c r="U84" s="537">
        <f>U66/(U$81*1000)*100</f>
        <v>1.2264446890478811</v>
      </c>
      <c r="V84" s="534">
        <f>V66/(V$81*1000)*100</f>
        <v>1.0332715231788079</v>
      </c>
      <c r="W84" s="537">
        <f t="shared" si="9"/>
        <v>1.1927949972811311</v>
      </c>
      <c r="X84" s="538">
        <f>X66/(X$81*1000)*100</f>
        <v>1.2663340336134454</v>
      </c>
      <c r="Y84" s="537">
        <f t="shared" si="9"/>
        <v>1.3593456690801824</v>
      </c>
      <c r="Z84" s="534">
        <f>Z66/(Z$81*1000)*100</f>
        <v>1.1056282722513089</v>
      </c>
      <c r="AA84" s="534">
        <f>AA66/(AA$81*1000)*100</f>
        <v>1.1052035033487893</v>
      </c>
      <c r="AB84" s="532"/>
      <c r="AC84" s="265"/>
    </row>
    <row r="85" spans="3:29">
      <c r="C85" s="504"/>
      <c r="D85" s="533" t="s">
        <v>277</v>
      </c>
      <c r="E85" s="534">
        <f>E68/(E$81*1000)*100</f>
        <v>15.343458797734332</v>
      </c>
      <c r="F85" s="535">
        <f>F68/(F$81*1000)*100</f>
        <v>15.072740413230168</v>
      </c>
      <c r="G85" s="534"/>
      <c r="H85" s="536">
        <f>H68/(H$81*1000)*100</f>
        <v>15.521059892874533</v>
      </c>
      <c r="I85" s="534"/>
      <c r="J85" s="534">
        <f t="shared" ref="J85:Y85" si="10">J68/(J$81*1000)*100</f>
        <v>16.553257537542198</v>
      </c>
      <c r="K85" s="534">
        <f t="shared" si="10"/>
        <v>16.100326843825492</v>
      </c>
      <c r="L85" s="534">
        <f t="shared" si="10"/>
        <v>15.809048257372654</v>
      </c>
      <c r="M85" s="534">
        <f t="shared" si="10"/>
        <v>16.555039559683525</v>
      </c>
      <c r="N85" s="537">
        <f t="shared" si="10"/>
        <v>15.676139912554653</v>
      </c>
      <c r="O85" s="534">
        <f>O68/(O$81*1000)*100</f>
        <v>15.603757828810021</v>
      </c>
      <c r="P85" s="534">
        <f>P68/(P$81*1000)*100</f>
        <v>15.137046137046136</v>
      </c>
      <c r="Q85" s="534">
        <f t="shared" si="10"/>
        <v>16.205602957906713</v>
      </c>
      <c r="R85" s="534">
        <f t="shared" si="10"/>
        <v>15.119594594594595</v>
      </c>
      <c r="S85" s="534">
        <f t="shared" si="10"/>
        <v>15.193101646198064</v>
      </c>
      <c r="T85" s="534">
        <f t="shared" si="10"/>
        <v>16.634955870553625</v>
      </c>
      <c r="U85" s="537">
        <f>U68/(U$81*1000)*100</f>
        <v>16.976774903687396</v>
      </c>
      <c r="V85" s="534">
        <f>V68/(V$81*1000)*100</f>
        <v>16.638622516556293</v>
      </c>
      <c r="W85" s="537">
        <f t="shared" si="10"/>
        <v>17.749755301794455</v>
      </c>
      <c r="X85" s="538">
        <f>X68/(X$81*1000)*100</f>
        <v>17.141334033613447</v>
      </c>
      <c r="Y85" s="537">
        <f t="shared" si="10"/>
        <v>18.225636899973182</v>
      </c>
      <c r="Z85" s="534">
        <f>Z68/(Z$81*1000)*100</f>
        <v>18.08374345549738</v>
      </c>
      <c r="AA85" s="534">
        <f>AA68/(AA$81*1000)*100</f>
        <v>17.768289541473468</v>
      </c>
      <c r="AB85" s="532"/>
      <c r="AC85" s="265"/>
    </row>
    <row r="86" spans="3:29">
      <c r="C86" s="504"/>
      <c r="D86" s="533"/>
      <c r="E86" s="539"/>
      <c r="F86" s="540"/>
      <c r="G86" s="539"/>
      <c r="H86" s="541"/>
      <c r="I86" s="539"/>
      <c r="J86" s="539"/>
      <c r="K86" s="539"/>
      <c r="L86" s="539"/>
      <c r="M86" s="539"/>
      <c r="N86" s="542"/>
      <c r="O86" s="539"/>
      <c r="P86" s="539"/>
      <c r="Q86" s="539"/>
      <c r="R86" s="539"/>
      <c r="S86" s="539"/>
      <c r="T86" s="539"/>
      <c r="U86" s="542"/>
      <c r="V86" s="539"/>
      <c r="W86" s="542"/>
      <c r="X86" s="539"/>
      <c r="Y86" s="542"/>
      <c r="Z86" s="539"/>
      <c r="AA86" s="539"/>
      <c r="AB86" s="540"/>
      <c r="AC86" s="266"/>
    </row>
    <row r="87" spans="3:29">
      <c r="C87" s="504"/>
      <c r="D87" s="543" t="s">
        <v>210</v>
      </c>
      <c r="E87" s="544">
        <v>632268</v>
      </c>
      <c r="F87" s="545">
        <f>693920-31327*0</f>
        <v>693920</v>
      </c>
      <c r="G87" s="544"/>
      <c r="H87" s="546">
        <f>750682</f>
        <v>750682</v>
      </c>
      <c r="I87" s="544"/>
      <c r="J87" s="544">
        <f>808718-20397*0</f>
        <v>808718</v>
      </c>
      <c r="K87" s="544">
        <f>862892-2363*0</f>
        <v>862892</v>
      </c>
      <c r="L87" s="544">
        <f>922798-2467*0</f>
        <v>922798</v>
      </c>
      <c r="M87" s="544">
        <f>908416-16147</f>
        <v>892269</v>
      </c>
      <c r="N87" s="547">
        <f>958792-15432*0</f>
        <v>958792</v>
      </c>
      <c r="O87" s="544">
        <v>1020640</v>
      </c>
      <c r="P87" s="544">
        <v>1092275</v>
      </c>
      <c r="Q87" s="544">
        <v>1040777</v>
      </c>
      <c r="R87" s="544">
        <v>1083944</v>
      </c>
      <c r="S87" s="544">
        <f>1085561+21750</f>
        <v>1107311</v>
      </c>
      <c r="T87" s="544">
        <v>1167009</v>
      </c>
      <c r="U87" s="547">
        <f>1151401+701</f>
        <v>1152102</v>
      </c>
      <c r="V87" s="544">
        <v>1156793</v>
      </c>
      <c r="W87" s="548">
        <f>1200264+3008-18353</f>
        <v>1184919</v>
      </c>
      <c r="X87" s="549">
        <v>1155526</v>
      </c>
      <c r="Y87" s="548">
        <v>1190701</v>
      </c>
      <c r="Z87" s="549">
        <v>1189701</v>
      </c>
      <c r="AA87" s="549">
        <f>1184878-4110</f>
        <v>1180768</v>
      </c>
      <c r="AB87" s="550"/>
      <c r="AC87" s="266"/>
    </row>
    <row r="88" spans="3:29" ht="25.5">
      <c r="C88" s="504"/>
      <c r="D88" s="405" t="s">
        <v>278</v>
      </c>
      <c r="E88" s="534">
        <f>E11/E$87*100</f>
        <v>42.281437618225183</v>
      </c>
      <c r="F88" s="551">
        <f>F11/F$87*100</f>
        <v>41.083842517869499</v>
      </c>
      <c r="G88" s="538"/>
      <c r="H88" s="552">
        <f>H11/H$87*100</f>
        <v>40.660625937480852</v>
      </c>
      <c r="I88" s="538"/>
      <c r="J88" s="538">
        <f t="shared" ref="J88:Y88" si="11">J11/J$87*100</f>
        <v>39.833415356156287</v>
      </c>
      <c r="K88" s="538">
        <f t="shared" si="11"/>
        <v>38.351728837444313</v>
      </c>
      <c r="L88" s="538">
        <f t="shared" si="11"/>
        <v>37.223964507942149</v>
      </c>
      <c r="M88" s="538">
        <f t="shared" si="11"/>
        <v>38.338662443724928</v>
      </c>
      <c r="N88" s="537">
        <f t="shared" si="11"/>
        <v>37.81821291792172</v>
      </c>
      <c r="O88" s="534">
        <f>O11/O$87*100</f>
        <v>36.541189841667972</v>
      </c>
      <c r="P88" s="534">
        <f>P11/P$87*100</f>
        <v>37.833237966629284</v>
      </c>
      <c r="Q88" s="534">
        <f t="shared" si="11"/>
        <v>40.005207647747788</v>
      </c>
      <c r="R88" s="534">
        <f t="shared" si="11"/>
        <v>39.59770984478903</v>
      </c>
      <c r="S88" s="534">
        <f t="shared" si="11"/>
        <v>38.106728823248389</v>
      </c>
      <c r="T88" s="534">
        <f t="shared" si="11"/>
        <v>39.317777326481632</v>
      </c>
      <c r="U88" s="537">
        <f>U11/U$87*100</f>
        <v>38.994811223311828</v>
      </c>
      <c r="V88" s="534">
        <f>V11/V$87*100</f>
        <v>39.888381067312821</v>
      </c>
      <c r="W88" s="537">
        <f t="shared" si="11"/>
        <v>39.092967536177582</v>
      </c>
      <c r="X88" s="538">
        <f>X11/X$87*100</f>
        <v>41.053078857593853</v>
      </c>
      <c r="Y88" s="537">
        <f t="shared" si="11"/>
        <v>39.989888309491633</v>
      </c>
      <c r="Z88" s="534">
        <f>Z11/Z$87*100</f>
        <v>41.762678185527285</v>
      </c>
      <c r="AA88" s="534">
        <f>AA11/AA$87*100</f>
        <v>42.826872001951273</v>
      </c>
      <c r="AB88" s="532"/>
      <c r="AC88" s="266"/>
    </row>
    <row r="89" spans="3:29">
      <c r="C89" s="504"/>
      <c r="D89" s="533" t="s">
        <v>279</v>
      </c>
      <c r="E89" s="534">
        <f>E44/E$87*100</f>
        <v>52.499414805114284</v>
      </c>
      <c r="F89" s="551">
        <f>F44/F$87*100</f>
        <v>50.655118745676731</v>
      </c>
      <c r="G89" s="538"/>
      <c r="H89" s="552">
        <f>H44/H$87*100</f>
        <v>50.224728979781055</v>
      </c>
      <c r="I89" s="538"/>
      <c r="J89" s="538">
        <f t="shared" ref="J89:Y89" si="12">J44/J$87*100</f>
        <v>49.627064069304751</v>
      </c>
      <c r="K89" s="538">
        <f t="shared" si="12"/>
        <v>48.470955809069963</v>
      </c>
      <c r="L89" s="538">
        <f t="shared" si="12"/>
        <v>46.061001432599554</v>
      </c>
      <c r="M89" s="538">
        <f t="shared" si="12"/>
        <v>48.331949221591245</v>
      </c>
      <c r="N89" s="537">
        <f t="shared" si="12"/>
        <v>47.969424025231753</v>
      </c>
      <c r="O89" s="534">
        <f>O44/O$87*100</f>
        <v>46.415092490986048</v>
      </c>
      <c r="P89" s="534">
        <f>P44/P$87*100</f>
        <v>47.512851617037832</v>
      </c>
      <c r="Q89" s="534">
        <f t="shared" si="12"/>
        <v>50.488433160994141</v>
      </c>
      <c r="R89" s="534">
        <f t="shared" si="12"/>
        <v>50.293649856450152</v>
      </c>
      <c r="S89" s="534">
        <f t="shared" si="12"/>
        <v>48.818624577918939</v>
      </c>
      <c r="T89" s="534">
        <f t="shared" si="12"/>
        <v>50.131747055935307</v>
      </c>
      <c r="U89" s="537">
        <f>U44/U$87*100</f>
        <v>49.680236645713663</v>
      </c>
      <c r="V89" s="534">
        <f>V44/V$87*100</f>
        <v>50.925446471408456</v>
      </c>
      <c r="W89" s="537">
        <f t="shared" si="12"/>
        <v>51.39296441360127</v>
      </c>
      <c r="X89" s="538">
        <f>X44/X$87*100</f>
        <v>52.315568840510728</v>
      </c>
      <c r="Y89" s="537">
        <f t="shared" si="12"/>
        <v>52.821321221700487</v>
      </c>
      <c r="Z89" s="534">
        <f>Z44/Z$87*100</f>
        <v>54.51487390529217</v>
      </c>
      <c r="AA89" s="534">
        <f>AA44/AA$87*100</f>
        <v>54.783073389522755</v>
      </c>
      <c r="AB89" s="532"/>
      <c r="AC89" s="266"/>
    </row>
    <row r="90" spans="3:29">
      <c r="C90" s="504"/>
      <c r="D90" s="533" t="s">
        <v>280</v>
      </c>
      <c r="E90" s="534">
        <f>E66/E$87*100</f>
        <v>0.62663301005269922</v>
      </c>
      <c r="F90" s="551">
        <f>F66/F$87*100</f>
        <v>0.43737030205210975</v>
      </c>
      <c r="G90" s="538"/>
      <c r="H90" s="552">
        <f>H66/H$87*100</f>
        <v>0.72907036534777714</v>
      </c>
      <c r="I90" s="538"/>
      <c r="J90" s="538">
        <f t="shared" ref="J90:Y90" si="13">J66/J$87*100</f>
        <v>3.1223491995973873</v>
      </c>
      <c r="K90" s="538">
        <f t="shared" si="13"/>
        <v>4.0491741724340935</v>
      </c>
      <c r="L90" s="538">
        <f t="shared" si="13"/>
        <v>5.0598289116361332</v>
      </c>
      <c r="M90" s="538">
        <f t="shared" si="13"/>
        <v>5.6041395588101794</v>
      </c>
      <c r="N90" s="537">
        <f t="shared" si="13"/>
        <v>4.3829109963370572</v>
      </c>
      <c r="O90" s="534">
        <f>O66/O$87*100</f>
        <v>4.8462729267910332</v>
      </c>
      <c r="P90" s="534">
        <f>P66/P$87*100</f>
        <v>3.2500057220022431</v>
      </c>
      <c r="Q90" s="534">
        <f t="shared" si="13"/>
        <v>4.2580687313420649</v>
      </c>
      <c r="R90" s="534">
        <f t="shared" si="13"/>
        <v>3.3808942159373543</v>
      </c>
      <c r="S90" s="534">
        <f t="shared" si="13"/>
        <v>3.6905620914088271</v>
      </c>
      <c r="T90" s="534">
        <f t="shared" si="13"/>
        <v>3.1652712189880283</v>
      </c>
      <c r="U90" s="537">
        <f>U66/U$87*100</f>
        <v>3.8684942826242819</v>
      </c>
      <c r="V90" s="534">
        <f>V66/V$87*100</f>
        <v>3.3719083708148299</v>
      </c>
      <c r="W90" s="537">
        <f t="shared" si="13"/>
        <v>3.7024471714944225</v>
      </c>
      <c r="X90" s="538">
        <f>X66/X$87*100</f>
        <v>4.1731644290132808</v>
      </c>
      <c r="Y90" s="537">
        <f t="shared" si="13"/>
        <v>4.2571560786461085</v>
      </c>
      <c r="Z90" s="534">
        <f>Z66/Z$87*100</f>
        <v>3.5500516516334777</v>
      </c>
      <c r="AA90" s="534">
        <f>AA66/AA$87*100</f>
        <v>3.6335673053470283</v>
      </c>
      <c r="AB90" s="553"/>
      <c r="AC90" s="266"/>
    </row>
    <row r="91" spans="3:29">
      <c r="C91" s="504"/>
      <c r="D91" s="533" t="s">
        <v>281</v>
      </c>
      <c r="E91" s="534">
        <f>E68/E$87*100</f>
        <v>53.126047815166984</v>
      </c>
      <c r="F91" s="551">
        <f>F68/F$87*100</f>
        <v>51.09248904772884</v>
      </c>
      <c r="G91" s="538"/>
      <c r="H91" s="552">
        <f>H68/H$87*100</f>
        <v>50.953799345128829</v>
      </c>
      <c r="I91" s="538"/>
      <c r="J91" s="538">
        <f t="shared" ref="J91:Y91" si="14">J68/J$87*100</f>
        <v>52.749413268902131</v>
      </c>
      <c r="K91" s="538">
        <f t="shared" si="14"/>
        <v>52.520129981504063</v>
      </c>
      <c r="L91" s="538">
        <f t="shared" si="14"/>
        <v>51.120830344235678</v>
      </c>
      <c r="M91" s="538">
        <f t="shared" si="14"/>
        <v>53.936088780401427</v>
      </c>
      <c r="N91" s="537">
        <f t="shared" si="14"/>
        <v>52.352335021568805</v>
      </c>
      <c r="O91" s="534">
        <f>O68/O$87*100</f>
        <v>51.261365417777085</v>
      </c>
      <c r="P91" s="534">
        <f>P68/P$87*100</f>
        <v>50.762857339040082</v>
      </c>
      <c r="Q91" s="534">
        <f t="shared" si="14"/>
        <v>54.746501892336205</v>
      </c>
      <c r="R91" s="534">
        <f t="shared" si="14"/>
        <v>53.674544072387512</v>
      </c>
      <c r="S91" s="534">
        <f t="shared" si="14"/>
        <v>52.509186669327768</v>
      </c>
      <c r="T91" s="534">
        <f t="shared" si="14"/>
        <v>53.297018274923325</v>
      </c>
      <c r="U91" s="537">
        <f>U68/U$87*100</f>
        <v>53.548730928337939</v>
      </c>
      <c r="V91" s="534">
        <f>V68/V$87*100</f>
        <v>54.297354842223285</v>
      </c>
      <c r="W91" s="537">
        <f t="shared" si="14"/>
        <v>55.09541158509569</v>
      </c>
      <c r="X91" s="538">
        <f>X68/X$87*100</f>
        <v>56.488733269524005</v>
      </c>
      <c r="Y91" s="537">
        <f t="shared" si="14"/>
        <v>57.078477300346599</v>
      </c>
      <c r="Z91" s="534">
        <f>Z68/Z$87*100</f>
        <v>58.064925556925651</v>
      </c>
      <c r="AA91" s="534">
        <f>AA68/AA$87*100</f>
        <v>58.416640694869784</v>
      </c>
      <c r="AB91" s="553"/>
      <c r="AC91" s="266"/>
    </row>
    <row r="92" spans="3:29">
      <c r="C92" s="504"/>
      <c r="D92" s="554"/>
      <c r="E92" s="539"/>
      <c r="F92" s="540"/>
      <c r="G92" s="539"/>
      <c r="H92" s="541"/>
      <c r="I92" s="539"/>
      <c r="J92" s="539"/>
      <c r="K92" s="539"/>
      <c r="L92" s="539"/>
      <c r="M92" s="539"/>
      <c r="N92" s="542"/>
      <c r="O92" s="539"/>
      <c r="P92" s="539"/>
      <c r="Q92" s="539"/>
      <c r="R92" s="539"/>
      <c r="S92" s="539"/>
      <c r="T92" s="539"/>
      <c r="U92" s="542"/>
      <c r="V92" s="539"/>
      <c r="W92" s="542"/>
      <c r="X92" s="539"/>
      <c r="Y92" s="542"/>
      <c r="Z92" s="539"/>
      <c r="AA92" s="539"/>
      <c r="AB92" s="540"/>
      <c r="AC92" s="266"/>
    </row>
    <row r="93" spans="3:29">
      <c r="C93" s="504"/>
      <c r="D93" s="555" t="s">
        <v>212</v>
      </c>
      <c r="E93" s="544">
        <v>586207</v>
      </c>
      <c r="F93" s="545">
        <f>626216-8088*0</f>
        <v>626216</v>
      </c>
      <c r="G93" s="544"/>
      <c r="H93" s="546">
        <f>704967</f>
        <v>704967</v>
      </c>
      <c r="I93" s="544"/>
      <c r="J93" s="544">
        <f>699665-7500*0</f>
        <v>699665</v>
      </c>
      <c r="K93" s="544">
        <f>769207-4720*0</f>
        <v>769207</v>
      </c>
      <c r="L93" s="544">
        <f>866460-3813*0</f>
        <v>866460</v>
      </c>
      <c r="M93" s="544">
        <f>824831-5113</f>
        <v>819718</v>
      </c>
      <c r="N93" s="547">
        <f>884392-6223*0</f>
        <v>884392</v>
      </c>
      <c r="O93" s="544">
        <v>923060</v>
      </c>
      <c r="P93" s="544">
        <v>1025883</v>
      </c>
      <c r="Q93" s="544">
        <v>949477</v>
      </c>
      <c r="R93" s="544">
        <v>1063941</v>
      </c>
      <c r="S93" s="544">
        <f>1007161+29350</f>
        <v>1036511</v>
      </c>
      <c r="T93" s="544">
        <v>974615</v>
      </c>
      <c r="U93" s="547">
        <f>1113301+701</f>
        <v>1114002</v>
      </c>
      <c r="V93" s="544">
        <v>1000377</v>
      </c>
      <c r="W93" s="548">
        <f>969264+4008+48947</f>
        <v>1022219</v>
      </c>
      <c r="X93" s="549">
        <v>1012755</v>
      </c>
      <c r="Y93" s="548">
        <v>1055701</v>
      </c>
      <c r="Z93" s="549">
        <v>1084701</v>
      </c>
      <c r="AA93" s="549">
        <f>1069723+15000+155-4110</f>
        <v>1080768</v>
      </c>
      <c r="AB93" s="550"/>
      <c r="AC93" s="266"/>
    </row>
    <row r="94" spans="3:29" ht="25.5">
      <c r="C94" s="504"/>
      <c r="D94" s="405" t="s">
        <v>282</v>
      </c>
      <c r="E94" s="534">
        <f>E11/E$93*100</f>
        <v>45.603686069937751</v>
      </c>
      <c r="F94" s="535">
        <f>F11/F$93*100</f>
        <v>45.525665265659129</v>
      </c>
      <c r="G94" s="534"/>
      <c r="H94" s="536">
        <f>H11/H$93*100</f>
        <v>43.297345833209214</v>
      </c>
      <c r="I94" s="534"/>
      <c r="J94" s="534">
        <f t="shared" ref="J94:Y94" si="15">J11/J$93*100</f>
        <v>46.042034402178182</v>
      </c>
      <c r="K94" s="534">
        <f t="shared" si="15"/>
        <v>43.022749402956549</v>
      </c>
      <c r="L94" s="534">
        <f t="shared" si="15"/>
        <v>39.644299794566393</v>
      </c>
      <c r="M94" s="534">
        <f t="shared" si="15"/>
        <v>41.731912682166303</v>
      </c>
      <c r="N94" s="537">
        <f t="shared" si="15"/>
        <v>40.999692444074576</v>
      </c>
      <c r="O94" s="534">
        <f>O11/O$93*100</f>
        <v>40.404090741663595</v>
      </c>
      <c r="P94" s="534">
        <f>P11/P$93*100</f>
        <v>40.281689042512646</v>
      </c>
      <c r="Q94" s="534">
        <f t="shared" si="15"/>
        <v>43.852036436901578</v>
      </c>
      <c r="R94" s="534">
        <f t="shared" si="15"/>
        <v>40.342180628437099</v>
      </c>
      <c r="S94" s="534">
        <f t="shared" si="15"/>
        <v>40.70964996994725</v>
      </c>
      <c r="T94" s="534">
        <f t="shared" si="15"/>
        <v>47.079308239663867</v>
      </c>
      <c r="U94" s="537">
        <f>U11/U$93*100</f>
        <v>40.32847337796521</v>
      </c>
      <c r="V94" s="534">
        <f>V11/V$93*100</f>
        <v>46.125210795530087</v>
      </c>
      <c r="W94" s="537">
        <f t="shared" si="15"/>
        <v>45.315142841211134</v>
      </c>
      <c r="X94" s="538">
        <f>X11/X$93*100</f>
        <v>46.840450059491189</v>
      </c>
      <c r="Y94" s="537">
        <f t="shared" si="15"/>
        <v>45.10367992452408</v>
      </c>
      <c r="Z94" s="534">
        <f>Z11/Z$93*100</f>
        <v>45.805341748555591</v>
      </c>
      <c r="AA94" s="534">
        <f>AA11/AA$93*100</f>
        <v>46.789505240717709</v>
      </c>
      <c r="AB94" s="532"/>
      <c r="AC94" s="266"/>
    </row>
    <row r="95" spans="3:29">
      <c r="C95" s="504"/>
      <c r="D95" s="533" t="s">
        <v>283</v>
      </c>
      <c r="E95" s="534">
        <f>E44/E$93*100</f>
        <v>56.624537066258164</v>
      </c>
      <c r="F95" s="535">
        <f>F44/F$93*100</f>
        <v>56.131750067069511</v>
      </c>
      <c r="G95" s="534"/>
      <c r="H95" s="536">
        <f>H44/H$93*100</f>
        <v>53.481652332662378</v>
      </c>
      <c r="I95" s="534"/>
      <c r="J95" s="534">
        <f t="shared" ref="J95:Y95" si="16">J44/J$93*100</f>
        <v>57.362166179528771</v>
      </c>
      <c r="K95" s="534">
        <f t="shared" si="16"/>
        <v>54.374440170201254</v>
      </c>
      <c r="L95" s="534">
        <f t="shared" si="16"/>
        <v>49.055928721464348</v>
      </c>
      <c r="M95" s="534">
        <f t="shared" si="16"/>
        <v>52.609677962421216</v>
      </c>
      <c r="N95" s="537">
        <f t="shared" si="16"/>
        <v>52.004880188875525</v>
      </c>
      <c r="O95" s="534">
        <f>O44/O$93*100</f>
        <v>51.321799232985946</v>
      </c>
      <c r="P95" s="534">
        <f>P44/P$93*100</f>
        <v>50.587737588009553</v>
      </c>
      <c r="Q95" s="534">
        <f t="shared" si="16"/>
        <v>55.343310053850701</v>
      </c>
      <c r="R95" s="534">
        <f t="shared" si="16"/>
        <v>51.239213452625663</v>
      </c>
      <c r="S95" s="534">
        <f t="shared" si="16"/>
        <v>52.153233299019497</v>
      </c>
      <c r="T95" s="534">
        <f t="shared" si="16"/>
        <v>60.028011060777843</v>
      </c>
      <c r="U95" s="537">
        <f>U44/U$93*100</f>
        <v>51.379351204037334</v>
      </c>
      <c r="V95" s="534">
        <f>V44/V$93*100</f>
        <v>58.887999224292443</v>
      </c>
      <c r="W95" s="537">
        <f t="shared" si="16"/>
        <v>59.572850827464563</v>
      </c>
      <c r="X95" s="538">
        <f>X44/X$93*100</f>
        <v>59.690645812659525</v>
      </c>
      <c r="Y95" s="537">
        <f t="shared" si="16"/>
        <v>59.575959480951525</v>
      </c>
      <c r="Z95" s="534">
        <f>Z44/Z$93*100</f>
        <v>59.791961102644876</v>
      </c>
      <c r="AA95" s="534">
        <f>AA44/AA$93*100</f>
        <v>59.851975632143073</v>
      </c>
      <c r="AB95" s="532"/>
      <c r="AC95" s="266"/>
    </row>
    <row r="96" spans="3:29">
      <c r="C96" s="504"/>
      <c r="D96" s="533" t="s">
        <v>284</v>
      </c>
      <c r="E96" s="534">
        <f>E66/E$93*100</f>
        <v>0.67587046896403491</v>
      </c>
      <c r="F96" s="535">
        <f>F66/F$93*100</f>
        <v>0.48465705124110536</v>
      </c>
      <c r="G96" s="534"/>
      <c r="H96" s="536">
        <f>H66/H$93*100</f>
        <v>0.77634839644976295</v>
      </c>
      <c r="I96" s="534"/>
      <c r="J96" s="534">
        <f t="shared" ref="J96:Y96" si="17">J66/J$93*100</f>
        <v>3.6090128847376959</v>
      </c>
      <c r="K96" s="534">
        <f t="shared" si="17"/>
        <v>4.5423403583170723</v>
      </c>
      <c r="L96" s="534">
        <f t="shared" si="17"/>
        <v>5.388823488678069</v>
      </c>
      <c r="M96" s="534">
        <f t="shared" si="17"/>
        <v>6.1001466357942613</v>
      </c>
      <c r="N96" s="537">
        <f t="shared" si="17"/>
        <v>4.7516259758116313</v>
      </c>
      <c r="O96" s="534">
        <f>O66/O$93*100</f>
        <v>5.3585899074816377</v>
      </c>
      <c r="P96" s="534">
        <f>P66/P$93*100</f>
        <v>3.4603361202008416</v>
      </c>
      <c r="Q96" s="534">
        <f t="shared" si="17"/>
        <v>4.6675169593365613</v>
      </c>
      <c r="R96" s="534">
        <f t="shared" si="17"/>
        <v>3.4444579163694229</v>
      </c>
      <c r="S96" s="534">
        <f t="shared" si="17"/>
        <v>3.9426499091664251</v>
      </c>
      <c r="T96" s="534">
        <f t="shared" si="17"/>
        <v>3.790111992940802</v>
      </c>
      <c r="U96" s="537">
        <f>U66/U$93*100</f>
        <v>4.0008007166953021</v>
      </c>
      <c r="V96" s="534">
        <f>V66/V$93*100</f>
        <v>3.8991300279794521</v>
      </c>
      <c r="W96" s="537">
        <f t="shared" si="17"/>
        <v>4.2917417891860747</v>
      </c>
      <c r="X96" s="538">
        <f>X66/X$93*100</f>
        <v>4.7614674822637255</v>
      </c>
      <c r="Y96" s="537">
        <f t="shared" si="17"/>
        <v>4.801548923416763</v>
      </c>
      <c r="Z96" s="534">
        <f>Z66/Z$93*100</f>
        <v>3.8936997384532699</v>
      </c>
      <c r="AA96" s="534">
        <f>AA66/AA$93*100</f>
        <v>3.9697696452892757</v>
      </c>
      <c r="AB96" s="553"/>
      <c r="AC96" s="266"/>
    </row>
    <row r="97" spans="3:29">
      <c r="C97" s="504"/>
      <c r="D97" s="533" t="s">
        <v>285</v>
      </c>
      <c r="E97" s="534">
        <f>E68/E$93*100</f>
        <v>57.300407535222199</v>
      </c>
      <c r="F97" s="535">
        <f>F68/F$93*100</f>
        <v>56.616407118310619</v>
      </c>
      <c r="G97" s="534"/>
      <c r="H97" s="536">
        <f>H68/H$93*100</f>
        <v>54.25800072911214</v>
      </c>
      <c r="I97" s="534"/>
      <c r="J97" s="534">
        <f t="shared" ref="J97:Y97" si="18">J68/J$93*100</f>
        <v>60.971179064266465</v>
      </c>
      <c r="K97" s="534">
        <f t="shared" si="18"/>
        <v>58.916780528518331</v>
      </c>
      <c r="L97" s="534">
        <f t="shared" si="18"/>
        <v>54.444752210142425</v>
      </c>
      <c r="M97" s="534">
        <f t="shared" si="18"/>
        <v>58.709824598215491</v>
      </c>
      <c r="N97" s="537">
        <f t="shared" si="18"/>
        <v>56.756506164687146</v>
      </c>
      <c r="O97" s="534">
        <f>O68/O$93*100</f>
        <v>56.680389140467582</v>
      </c>
      <c r="P97" s="534">
        <f>P68/P$93*100</f>
        <v>54.048073708210389</v>
      </c>
      <c r="Q97" s="534">
        <f t="shared" si="18"/>
        <v>60.01082701318726</v>
      </c>
      <c r="R97" s="534">
        <f t="shared" si="18"/>
        <v>54.683671368995093</v>
      </c>
      <c r="S97" s="534">
        <f t="shared" si="18"/>
        <v>56.095883208185924</v>
      </c>
      <c r="T97" s="534">
        <f t="shared" si="18"/>
        <v>63.818123053718644</v>
      </c>
      <c r="U97" s="537">
        <f>U68/U$93*100</f>
        <v>55.380151920732636</v>
      </c>
      <c r="V97" s="534">
        <f>V68/V$93*100</f>
        <v>62.787129252271889</v>
      </c>
      <c r="W97" s="537">
        <f t="shared" si="18"/>
        <v>63.86459261665064</v>
      </c>
      <c r="X97" s="538">
        <f>X68/X$93*100</f>
        <v>64.452113294923251</v>
      </c>
      <c r="Y97" s="537">
        <f t="shared" si="18"/>
        <v>64.377508404368271</v>
      </c>
      <c r="Z97" s="534">
        <f>Z68/Z$93*100</f>
        <v>63.685660841098148</v>
      </c>
      <c r="AA97" s="534">
        <f>AA68/AA$93*100</f>
        <v>63.821745277432342</v>
      </c>
      <c r="AB97" s="553"/>
      <c r="AC97" s="266"/>
    </row>
    <row r="98" spans="3:29">
      <c r="C98" s="504"/>
      <c r="D98" s="504"/>
      <c r="E98" s="504"/>
      <c r="F98" s="556"/>
      <c r="G98" s="504"/>
      <c r="H98" s="504"/>
      <c r="I98" s="504"/>
      <c r="J98" s="504"/>
      <c r="K98" s="504"/>
      <c r="L98" s="504"/>
      <c r="M98" s="504"/>
      <c r="N98" s="557"/>
      <c r="O98" s="504"/>
      <c r="P98" s="504"/>
      <c r="Q98" s="558"/>
      <c r="R98" s="558"/>
      <c r="S98" s="558"/>
      <c r="T98" s="558"/>
      <c r="U98" s="558"/>
      <c r="V98" s="558"/>
      <c r="W98" s="558"/>
      <c r="X98" s="558"/>
      <c r="Y98" s="558"/>
      <c r="Z98" s="558"/>
      <c r="AA98" s="558"/>
      <c r="AB98" s="504"/>
    </row>
    <row r="99" spans="3:29">
      <c r="C99" s="504"/>
      <c r="D99" s="559" t="s">
        <v>216</v>
      </c>
      <c r="E99" s="560"/>
      <c r="F99" s="560"/>
      <c r="G99" s="560"/>
      <c r="H99" s="560"/>
      <c r="I99" s="560"/>
      <c r="J99" s="560"/>
      <c r="K99" s="560"/>
      <c r="L99" s="560"/>
      <c r="M99" s="560"/>
      <c r="N99" s="561"/>
      <c r="O99" s="560"/>
      <c r="P99" s="560"/>
      <c r="Q99" s="560"/>
      <c r="R99" s="560"/>
      <c r="S99" s="560"/>
      <c r="T99" s="560"/>
      <c r="U99" s="560"/>
      <c r="V99" s="560"/>
      <c r="W99" s="560"/>
      <c r="X99" s="560"/>
      <c r="Y99" s="560"/>
      <c r="Z99" s="560"/>
      <c r="AA99" s="560"/>
      <c r="AB99" s="560"/>
      <c r="AC99" s="113"/>
    </row>
    <row r="100" spans="3:29">
      <c r="C100" s="504"/>
      <c r="D100" s="504"/>
      <c r="E100" s="504"/>
      <c r="F100" s="504"/>
      <c r="G100" s="504"/>
      <c r="H100" s="504"/>
      <c r="I100" s="504"/>
      <c r="J100" s="504"/>
      <c r="K100" s="504"/>
      <c r="L100" s="504"/>
      <c r="M100" s="504"/>
      <c r="N100" s="557"/>
      <c r="O100" s="504"/>
      <c r="P100" s="504"/>
      <c r="Q100" s="558"/>
      <c r="R100" s="558"/>
      <c r="S100" s="558"/>
      <c r="T100" s="558"/>
      <c r="U100" s="558"/>
      <c r="V100" s="558"/>
      <c r="W100" s="558"/>
      <c r="X100" s="558"/>
      <c r="Y100" s="558"/>
      <c r="Z100" s="558"/>
      <c r="AA100" s="558"/>
      <c r="AB100" s="504"/>
    </row>
    <row r="101" spans="3:29" hidden="1">
      <c r="C101" s="298"/>
      <c r="D101" s="298"/>
      <c r="E101" s="299">
        <f>E93-E87</f>
        <v>-46061</v>
      </c>
      <c r="F101" s="299">
        <f>F93-F87</f>
        <v>-67704</v>
      </c>
      <c r="G101" s="298"/>
      <c r="H101" s="299">
        <f>H93-H87</f>
        <v>-45715</v>
      </c>
      <c r="I101" s="298"/>
      <c r="J101" s="299">
        <f t="shared" ref="J101:AA101" si="19">J93-J87</f>
        <v>-109053</v>
      </c>
      <c r="K101" s="299">
        <f t="shared" si="19"/>
        <v>-93685</v>
      </c>
      <c r="L101" s="299">
        <f t="shared" si="19"/>
        <v>-56338</v>
      </c>
      <c r="M101" s="299">
        <f t="shared" si="19"/>
        <v>-72551</v>
      </c>
      <c r="N101" s="299">
        <f t="shared" si="19"/>
        <v>-74400</v>
      </c>
      <c r="O101" s="299">
        <f t="shared" si="19"/>
        <v>-97580</v>
      </c>
      <c r="P101" s="299">
        <f t="shared" si="19"/>
        <v>-66392</v>
      </c>
      <c r="Q101" s="299">
        <f t="shared" si="19"/>
        <v>-91300</v>
      </c>
      <c r="R101" s="299">
        <f t="shared" si="19"/>
        <v>-20003</v>
      </c>
      <c r="S101" s="299">
        <f t="shared" si="19"/>
        <v>-70800</v>
      </c>
      <c r="T101" s="299">
        <f t="shared" si="19"/>
        <v>-192394</v>
      </c>
      <c r="U101" s="299">
        <f t="shared" si="19"/>
        <v>-38100</v>
      </c>
      <c r="V101" s="299">
        <f t="shared" si="19"/>
        <v>-156416</v>
      </c>
      <c r="W101" s="299">
        <f t="shared" si="19"/>
        <v>-162700</v>
      </c>
      <c r="X101" s="299">
        <f t="shared" si="19"/>
        <v>-142771</v>
      </c>
      <c r="Y101" s="299">
        <f t="shared" si="19"/>
        <v>-135000</v>
      </c>
      <c r="Z101" s="299">
        <f t="shared" si="19"/>
        <v>-105000</v>
      </c>
      <c r="AA101" s="299">
        <f t="shared" si="19"/>
        <v>-100000</v>
      </c>
    </row>
  </sheetData>
  <mergeCells count="6">
    <mergeCell ref="V25:V26"/>
    <mergeCell ref="Z25:Z26"/>
    <mergeCell ref="Y25:Y26"/>
    <mergeCell ref="AB25:AB26"/>
    <mergeCell ref="AA25:AA26"/>
    <mergeCell ref="X25:X26"/>
  </mergeCells>
  <phoneticPr fontId="31" type="noConversion"/>
  <printOptions horizontalCentered="1"/>
  <pageMargins left="0.5" right="0.36" top="0.75" bottom="0.48" header="0.56999999999999995" footer="0.3"/>
  <pageSetup paperSize="9" scale="61" orientation="landscape" useFirstPageNumber="1" r:id="rId1"/>
  <headerFooter alignWithMargins="0">
    <oddFooter>&amp;CStrana &amp;P</oddFooter>
  </headerFooter>
  <rowBreaks count="2" manualBreakCount="2">
    <brk id="44" max="16383" man="1"/>
    <brk id="78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F47"/>
  <sheetViews>
    <sheetView zoomScaleNormal="100" workbookViewId="0">
      <pane xSplit="4" ySplit="8" topLeftCell="H24" activePane="bottomRight" state="frozen"/>
      <selection activeCell="AE1" sqref="AE1:AF65536"/>
      <selection pane="topRight" activeCell="AE1" sqref="AE1:AF65536"/>
      <selection pane="bottomLeft" activeCell="AE1" sqref="AE1:AF65536"/>
      <selection pane="bottomRight" activeCell="AC31" sqref="AC31"/>
    </sheetView>
  </sheetViews>
  <sheetFormatPr defaultColWidth="10.6640625" defaultRowHeight="12.75"/>
  <cols>
    <col min="1" max="1" width="2" style="113" customWidth="1"/>
    <col min="2" max="2" width="0" style="113" hidden="1" customWidth="1"/>
    <col min="3" max="3" width="5.1640625" style="113" customWidth="1"/>
    <col min="4" max="4" width="60" style="113" customWidth="1"/>
    <col min="5" max="6" width="12" style="113" customWidth="1"/>
    <col min="7" max="7" width="1.1640625" style="113" customWidth="1"/>
    <col min="8" max="8" width="12" style="113" customWidth="1"/>
    <col min="9" max="9" width="1" style="113" customWidth="1"/>
    <col min="10" max="10" width="12" style="113" customWidth="1"/>
    <col min="11" max="12" width="11.1640625" style="113" customWidth="1"/>
    <col min="13" max="13" width="11.83203125" style="113" hidden="1" customWidth="1"/>
    <col min="14" max="14" width="11.83203125" style="114" hidden="1" customWidth="1"/>
    <col min="15" max="16" width="11.83203125" style="113" customWidth="1"/>
    <col min="17" max="17" width="11" style="113" hidden="1" customWidth="1"/>
    <col min="18" max="18" width="11" style="113" customWidth="1"/>
    <col min="19" max="19" width="11" style="113" hidden="1" customWidth="1"/>
    <col min="20" max="20" width="11" style="113" customWidth="1"/>
    <col min="21" max="21" width="11" style="113" hidden="1" customWidth="1"/>
    <col min="22" max="22" width="11" style="113" customWidth="1"/>
    <col min="23" max="23" width="11" style="113" hidden="1" customWidth="1"/>
    <col min="24" max="24" width="11" style="113" customWidth="1"/>
    <col min="25" max="25" width="11" style="113" hidden="1" customWidth="1"/>
    <col min="26" max="27" width="11" style="113" customWidth="1"/>
    <col min="28" max="28" width="13.33203125" style="113" customWidth="1"/>
    <col min="29" max="16384" width="10.6640625" style="113"/>
  </cols>
  <sheetData>
    <row r="2" spans="2:32">
      <c r="AB2" s="115"/>
      <c r="AC2" s="115"/>
    </row>
    <row r="3" spans="2:32" ht="15.75">
      <c r="D3" s="116" t="s">
        <v>180</v>
      </c>
      <c r="E3" s="117"/>
      <c r="F3" s="117"/>
      <c r="G3" s="117"/>
      <c r="H3" s="117"/>
      <c r="I3" s="117"/>
      <c r="J3" s="117"/>
      <c r="K3" s="117"/>
      <c r="L3" s="117"/>
      <c r="M3" s="117"/>
      <c r="N3" s="118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</row>
    <row r="4" spans="2:32" ht="13.5" thickBot="1"/>
    <row r="5" spans="2:32" ht="13.5" thickTop="1">
      <c r="C5" s="119" t="s">
        <v>181</v>
      </c>
      <c r="D5" s="120"/>
      <c r="E5" s="121">
        <v>2000</v>
      </c>
      <c r="F5" s="122">
        <v>2001</v>
      </c>
      <c r="G5" s="121"/>
      <c r="H5" s="122">
        <v>2002</v>
      </c>
      <c r="I5" s="121"/>
      <c r="J5" s="122">
        <v>2003</v>
      </c>
      <c r="K5" s="123">
        <v>2004</v>
      </c>
      <c r="L5" s="123">
        <v>2005</v>
      </c>
      <c r="M5" s="124">
        <v>2005</v>
      </c>
      <c r="N5" s="124">
        <v>2006</v>
      </c>
      <c r="O5" s="123">
        <v>2006</v>
      </c>
      <c r="P5" s="123">
        <v>2007</v>
      </c>
      <c r="Q5" s="124">
        <v>2007</v>
      </c>
      <c r="R5" s="123">
        <v>2008</v>
      </c>
      <c r="S5" s="124">
        <v>2008</v>
      </c>
      <c r="T5" s="123">
        <v>2009</v>
      </c>
      <c r="U5" s="124">
        <v>2009</v>
      </c>
      <c r="V5" s="123">
        <v>2010</v>
      </c>
      <c r="W5" s="124">
        <v>2010</v>
      </c>
      <c r="X5" s="123">
        <v>2011</v>
      </c>
      <c r="Y5" s="124">
        <v>2011</v>
      </c>
      <c r="Z5" s="123">
        <v>2012</v>
      </c>
      <c r="AA5" s="121">
        <v>2013</v>
      </c>
      <c r="AB5" s="125" t="s">
        <v>182</v>
      </c>
      <c r="AC5" s="126"/>
    </row>
    <row r="6" spans="2:32">
      <c r="C6" s="127"/>
      <c r="D6" s="128" t="s">
        <v>183</v>
      </c>
      <c r="E6" s="129" t="s">
        <v>184</v>
      </c>
      <c r="F6" s="130" t="s">
        <v>184</v>
      </c>
      <c r="G6" s="131"/>
      <c r="H6" s="132" t="s">
        <v>185</v>
      </c>
      <c r="I6" s="131"/>
      <c r="J6" s="132" t="s">
        <v>185</v>
      </c>
      <c r="K6" s="129" t="s">
        <v>184</v>
      </c>
      <c r="L6" s="129" t="s">
        <v>184</v>
      </c>
      <c r="M6" s="133" t="s">
        <v>186</v>
      </c>
      <c r="N6" s="133" t="s">
        <v>186</v>
      </c>
      <c r="O6" s="129" t="s">
        <v>187</v>
      </c>
      <c r="P6" s="129" t="s">
        <v>187</v>
      </c>
      <c r="Q6" s="133" t="s">
        <v>186</v>
      </c>
      <c r="R6" s="129" t="s">
        <v>184</v>
      </c>
      <c r="S6" s="133" t="s">
        <v>186</v>
      </c>
      <c r="T6" s="129" t="s">
        <v>187</v>
      </c>
      <c r="U6" s="133" t="s">
        <v>186</v>
      </c>
      <c r="V6" s="129" t="s">
        <v>187</v>
      </c>
      <c r="W6" s="133" t="s">
        <v>186</v>
      </c>
      <c r="X6" s="129" t="s">
        <v>187</v>
      </c>
      <c r="Y6" s="133" t="s">
        <v>186</v>
      </c>
      <c r="Z6" s="129" t="s">
        <v>186</v>
      </c>
      <c r="AA6" s="131" t="s">
        <v>186</v>
      </c>
      <c r="AB6" s="134" t="s">
        <v>33</v>
      </c>
      <c r="AC6" s="135"/>
    </row>
    <row r="7" spans="2:32" ht="13.5" thickBot="1">
      <c r="C7" s="136"/>
      <c r="D7" s="137" t="s">
        <v>34</v>
      </c>
      <c r="E7" s="138">
        <v>1</v>
      </c>
      <c r="F7" s="139">
        <v>2</v>
      </c>
      <c r="G7" s="138"/>
      <c r="H7" s="139">
        <v>3</v>
      </c>
      <c r="I7" s="138"/>
      <c r="J7" s="140">
        <v>4</v>
      </c>
      <c r="K7" s="141">
        <v>5</v>
      </c>
      <c r="L7" s="141">
        <v>6</v>
      </c>
      <c r="M7" s="142"/>
      <c r="N7" s="142"/>
      <c r="O7" s="141">
        <v>7</v>
      </c>
      <c r="P7" s="141">
        <v>8</v>
      </c>
      <c r="Q7" s="142"/>
      <c r="R7" s="141">
        <v>9</v>
      </c>
      <c r="S7" s="142"/>
      <c r="T7" s="141">
        <v>10</v>
      </c>
      <c r="U7" s="142"/>
      <c r="V7" s="141">
        <v>11</v>
      </c>
      <c r="W7" s="142"/>
      <c r="X7" s="141">
        <v>12</v>
      </c>
      <c r="Y7" s="142"/>
      <c r="Z7" s="141">
        <v>13</v>
      </c>
      <c r="AA7" s="140">
        <v>14</v>
      </c>
      <c r="AB7" s="143" t="s">
        <v>188</v>
      </c>
      <c r="AC7" s="135"/>
    </row>
    <row r="8" spans="2:32" ht="13.5" thickTop="1">
      <c r="B8" s="113">
        <v>1</v>
      </c>
      <c r="C8" s="144"/>
      <c r="D8" s="145"/>
      <c r="E8" s="146"/>
      <c r="F8" s="147"/>
      <c r="G8" s="146"/>
      <c r="H8" s="147"/>
      <c r="I8" s="146"/>
      <c r="J8" s="148"/>
      <c r="K8" s="149"/>
      <c r="L8" s="146"/>
      <c r="M8" s="150"/>
      <c r="N8" s="150"/>
      <c r="O8" s="146"/>
      <c r="P8" s="146"/>
      <c r="Q8" s="150"/>
      <c r="R8" s="146"/>
      <c r="S8" s="151"/>
      <c r="T8" s="149"/>
      <c r="U8" s="151"/>
      <c r="V8" s="149"/>
      <c r="W8" s="151"/>
      <c r="X8" s="149"/>
      <c r="Y8" s="151"/>
      <c r="Z8" s="149"/>
      <c r="AA8" s="148"/>
      <c r="AB8" s="152"/>
      <c r="AC8" s="153"/>
    </row>
    <row r="9" spans="2:32">
      <c r="C9" s="154"/>
      <c r="D9" s="155"/>
      <c r="E9" s="156"/>
      <c r="F9" s="157"/>
      <c r="G9" s="156"/>
      <c r="H9" s="157"/>
      <c r="I9" s="156"/>
      <c r="J9" s="158"/>
      <c r="K9" s="159"/>
      <c r="L9" s="156"/>
      <c r="M9" s="160"/>
      <c r="N9" s="160"/>
      <c r="O9" s="161"/>
      <c r="P9" s="161"/>
      <c r="Q9" s="160"/>
      <c r="R9" s="161"/>
      <c r="S9" s="162"/>
      <c r="T9" s="163"/>
      <c r="U9" s="162"/>
      <c r="V9" s="163"/>
      <c r="W9" s="162"/>
      <c r="X9" s="163"/>
      <c r="Y9" s="162"/>
      <c r="Z9" s="163"/>
      <c r="AA9" s="164"/>
      <c r="AB9" s="165"/>
      <c r="AC9" s="166"/>
    </row>
    <row r="10" spans="2:32" ht="15.75">
      <c r="C10" s="167"/>
      <c r="D10" s="168" t="s">
        <v>189</v>
      </c>
      <c r="E10" s="156"/>
      <c r="F10" s="157"/>
      <c r="G10" s="156"/>
      <c r="H10" s="157"/>
      <c r="I10" s="156"/>
      <c r="J10" s="158"/>
      <c r="K10" s="159"/>
      <c r="L10" s="156"/>
      <c r="M10" s="160"/>
      <c r="N10" s="160"/>
      <c r="O10" s="161"/>
      <c r="P10" s="161"/>
      <c r="Q10" s="160"/>
      <c r="R10" s="161"/>
      <c r="S10" s="162"/>
      <c r="T10" s="163"/>
      <c r="U10" s="162"/>
      <c r="V10" s="163"/>
      <c r="W10" s="162"/>
      <c r="X10" s="163"/>
      <c r="Y10" s="162"/>
      <c r="Z10" s="163"/>
      <c r="AA10" s="164"/>
      <c r="AB10" s="165"/>
      <c r="AC10" s="166"/>
    </row>
    <row r="11" spans="2:32">
      <c r="C11" s="169"/>
      <c r="D11" s="170"/>
      <c r="E11" s="156"/>
      <c r="F11" s="157"/>
      <c r="G11" s="156"/>
      <c r="H11" s="157"/>
      <c r="I11" s="156"/>
      <c r="J11" s="158"/>
      <c r="K11" s="159"/>
      <c r="L11" s="156"/>
      <c r="M11" s="160"/>
      <c r="N11" s="160"/>
      <c r="O11" s="161"/>
      <c r="P11" s="161"/>
      <c r="Q11" s="160"/>
      <c r="R11" s="161"/>
      <c r="S11" s="162"/>
      <c r="T11" s="163"/>
      <c r="U11" s="162"/>
      <c r="V11" s="163"/>
      <c r="W11" s="162"/>
      <c r="X11" s="163"/>
      <c r="Y11" s="162"/>
      <c r="Z11" s="163"/>
      <c r="AA11" s="164"/>
      <c r="AB11" s="165"/>
      <c r="AC11" s="166"/>
    </row>
    <row r="12" spans="2:32" ht="25.5">
      <c r="B12" s="113">
        <v>2</v>
      </c>
      <c r="C12" s="171">
        <v>1</v>
      </c>
      <c r="D12" s="172" t="s">
        <v>190</v>
      </c>
      <c r="E12" s="173">
        <v>3422</v>
      </c>
      <c r="F12" s="174">
        <v>4058</v>
      </c>
      <c r="G12" s="175"/>
      <c r="H12" s="174">
        <v>3495</v>
      </c>
      <c r="I12" s="175"/>
      <c r="J12" s="176">
        <v>3191</v>
      </c>
      <c r="K12" s="177">
        <v>3937</v>
      </c>
      <c r="L12" s="173">
        <v>4054</v>
      </c>
      <c r="M12" s="178">
        <v>4411</v>
      </c>
      <c r="N12" s="178">
        <v>5750</v>
      </c>
      <c r="O12" s="173">
        <v>4353</v>
      </c>
      <c r="P12" s="173">
        <v>3574</v>
      </c>
      <c r="Q12" s="178">
        <v>4800</v>
      </c>
      <c r="R12" s="173">
        <v>4183</v>
      </c>
      <c r="S12" s="179">
        <v>4800</v>
      </c>
      <c r="T12" s="177">
        <v>2695</v>
      </c>
      <c r="U12" s="179">
        <v>4000</v>
      </c>
      <c r="V12" s="177">
        <v>1997</v>
      </c>
      <c r="W12" s="179">
        <v>4000</v>
      </c>
      <c r="X12" s="177">
        <v>1983</v>
      </c>
      <c r="Y12" s="179">
        <v>3000</v>
      </c>
      <c r="Z12" s="177">
        <v>3180</v>
      </c>
      <c r="AA12" s="176">
        <v>3100</v>
      </c>
      <c r="AB12" s="180">
        <v>97.5</v>
      </c>
      <c r="AC12" s="181"/>
    </row>
    <row r="13" spans="2:32">
      <c r="C13" s="171">
        <v>2</v>
      </c>
      <c r="D13" s="172" t="s">
        <v>191</v>
      </c>
      <c r="E13" s="173">
        <v>40734</v>
      </c>
      <c r="F13" s="174">
        <v>40614</v>
      </c>
      <c r="G13" s="173"/>
      <c r="H13" s="174">
        <v>44117</v>
      </c>
      <c r="I13" s="173"/>
      <c r="J13" s="176">
        <v>48303</v>
      </c>
      <c r="K13" s="177">
        <v>46946</v>
      </c>
      <c r="L13" s="173">
        <v>52941</v>
      </c>
      <c r="M13" s="178">
        <v>47119</v>
      </c>
      <c r="N13" s="178">
        <v>50153</v>
      </c>
      <c r="O13" s="173">
        <v>57381</v>
      </c>
      <c r="P13" s="173">
        <v>55446</v>
      </c>
      <c r="Q13" s="178">
        <v>48027</v>
      </c>
      <c r="R13" s="173">
        <v>46716</v>
      </c>
      <c r="S13" s="179">
        <v>47988</v>
      </c>
      <c r="T13" s="177">
        <v>53132</v>
      </c>
      <c r="U13" s="179">
        <v>49587</v>
      </c>
      <c r="V13" s="177">
        <v>44372</v>
      </c>
      <c r="W13" s="179">
        <v>42187</v>
      </c>
      <c r="X13" s="177">
        <v>38921</v>
      </c>
      <c r="Y13" s="179">
        <v>36875</v>
      </c>
      <c r="Z13" s="177">
        <v>36689</v>
      </c>
      <c r="AA13" s="176">
        <v>35054</v>
      </c>
      <c r="AB13" s="180">
        <v>95.5</v>
      </c>
      <c r="AC13" s="181"/>
    </row>
    <row r="14" spans="2:32" ht="25.5">
      <c r="C14" s="171">
        <v>3</v>
      </c>
      <c r="D14" s="182" t="s">
        <v>214</v>
      </c>
      <c r="E14" s="173">
        <v>382</v>
      </c>
      <c r="F14" s="174">
        <v>358</v>
      </c>
      <c r="G14" s="173"/>
      <c r="H14" s="174">
        <v>240</v>
      </c>
      <c r="I14" s="173"/>
      <c r="J14" s="176">
        <v>428</v>
      </c>
      <c r="K14" s="177">
        <v>552</v>
      </c>
      <c r="L14" s="173">
        <v>718</v>
      </c>
      <c r="M14" s="178">
        <v>658</v>
      </c>
      <c r="N14" s="178">
        <v>765</v>
      </c>
      <c r="O14" s="173">
        <v>765</v>
      </c>
      <c r="P14" s="173">
        <v>820</v>
      </c>
      <c r="Q14" s="178">
        <v>820</v>
      </c>
      <c r="R14" s="173">
        <v>855</v>
      </c>
      <c r="S14" s="179">
        <v>867</v>
      </c>
      <c r="T14" s="177">
        <v>970</v>
      </c>
      <c r="U14" s="179">
        <v>1015</v>
      </c>
      <c r="V14" s="177">
        <v>775</v>
      </c>
      <c r="W14" s="179">
        <v>837</v>
      </c>
      <c r="X14" s="177">
        <v>734</v>
      </c>
      <c r="Y14" s="179">
        <v>807</v>
      </c>
      <c r="Z14" s="177">
        <v>810</v>
      </c>
      <c r="AA14" s="176">
        <v>807</v>
      </c>
      <c r="AB14" s="180">
        <v>99.6</v>
      </c>
      <c r="AC14" s="113" t="s">
        <v>192</v>
      </c>
    </row>
    <row r="15" spans="2:32" ht="16.5" customHeight="1">
      <c r="C15" s="183">
        <v>4</v>
      </c>
      <c r="D15" s="184" t="s">
        <v>193</v>
      </c>
      <c r="E15" s="185">
        <v>95989</v>
      </c>
      <c r="F15" s="186">
        <v>130101</v>
      </c>
      <c r="G15" s="187"/>
      <c r="H15" s="186">
        <v>125955</v>
      </c>
      <c r="I15" s="187"/>
      <c r="J15" s="188">
        <v>130493</v>
      </c>
      <c r="K15" s="189">
        <v>137063</v>
      </c>
      <c r="L15" s="190">
        <v>146229</v>
      </c>
      <c r="M15" s="191">
        <v>145888</v>
      </c>
      <c r="N15" s="191">
        <v>150924</v>
      </c>
      <c r="O15" s="190">
        <v>153262</v>
      </c>
      <c r="P15" s="190">
        <v>158755</v>
      </c>
      <c r="Q15" s="191">
        <v>156533</v>
      </c>
      <c r="R15" s="190">
        <v>162525</v>
      </c>
      <c r="S15" s="192">
        <v>162545</v>
      </c>
      <c r="T15" s="189">
        <v>170514</v>
      </c>
      <c r="U15" s="192">
        <v>171341</v>
      </c>
      <c r="V15" s="189">
        <v>167473</v>
      </c>
      <c r="W15" s="192">
        <v>166456</v>
      </c>
      <c r="X15" s="189">
        <v>161151</v>
      </c>
      <c r="Y15" s="192">
        <v>158094</v>
      </c>
      <c r="Z15" s="189">
        <v>159361</v>
      </c>
      <c r="AA15" s="193">
        <v>158972</v>
      </c>
      <c r="AB15" s="194">
        <v>99.8</v>
      </c>
      <c r="AC15" s="113" t="s">
        <v>35</v>
      </c>
      <c r="AF15" s="195"/>
    </row>
    <row r="16" spans="2:32" ht="25.5">
      <c r="C16" s="154"/>
      <c r="D16" s="196" t="s">
        <v>194</v>
      </c>
      <c r="E16" s="197"/>
      <c r="F16" s="198"/>
      <c r="G16" s="197"/>
      <c r="H16" s="198"/>
      <c r="I16" s="197"/>
      <c r="J16" s="199"/>
      <c r="K16" s="200"/>
      <c r="L16" s="197"/>
      <c r="M16" s="201"/>
      <c r="N16" s="201"/>
      <c r="O16" s="197"/>
      <c r="P16" s="197"/>
      <c r="Q16" s="201"/>
      <c r="R16" s="197"/>
      <c r="S16" s="202"/>
      <c r="T16" s="200"/>
      <c r="U16" s="202"/>
      <c r="V16" s="200"/>
      <c r="W16" s="202"/>
      <c r="X16" s="200"/>
      <c r="Y16" s="202"/>
      <c r="Z16" s="200"/>
      <c r="AA16" s="199"/>
      <c r="AB16" s="203" t="s">
        <v>215</v>
      </c>
      <c r="AC16" s="181"/>
    </row>
    <row r="17" spans="2:31" ht="25.5">
      <c r="C17" s="171">
        <v>5</v>
      </c>
      <c r="D17" s="204" t="s">
        <v>195</v>
      </c>
      <c r="E17" s="173">
        <v>615</v>
      </c>
      <c r="F17" s="174">
        <v>672</v>
      </c>
      <c r="G17" s="173"/>
      <c r="H17" s="174">
        <v>772</v>
      </c>
      <c r="I17" s="173"/>
      <c r="J17" s="176">
        <v>864</v>
      </c>
      <c r="K17" s="177">
        <v>864</v>
      </c>
      <c r="L17" s="173">
        <v>959</v>
      </c>
      <c r="M17" s="178">
        <v>924</v>
      </c>
      <c r="N17" s="178">
        <v>1049</v>
      </c>
      <c r="O17" s="173">
        <v>1053</v>
      </c>
      <c r="P17" s="173">
        <v>1225</v>
      </c>
      <c r="Q17" s="178">
        <v>1060</v>
      </c>
      <c r="R17" s="173">
        <v>1245</v>
      </c>
      <c r="S17" s="179">
        <v>1191</v>
      </c>
      <c r="T17" s="177">
        <v>1276</v>
      </c>
      <c r="U17" s="179">
        <v>1217</v>
      </c>
      <c r="V17" s="177">
        <v>1331</v>
      </c>
      <c r="W17" s="179">
        <v>1204</v>
      </c>
      <c r="X17" s="177">
        <v>1348</v>
      </c>
      <c r="Y17" s="179">
        <v>1304</v>
      </c>
      <c r="Z17" s="177">
        <v>1348</v>
      </c>
      <c r="AA17" s="176">
        <v>1445</v>
      </c>
      <c r="AB17" s="180">
        <v>107.2</v>
      </c>
      <c r="AC17" s="205" t="s">
        <v>196</v>
      </c>
    </row>
    <row r="18" spans="2:31">
      <c r="C18" s="171">
        <v>6</v>
      </c>
      <c r="D18" s="172" t="s">
        <v>197</v>
      </c>
      <c r="E18" s="173"/>
      <c r="F18" s="174">
        <v>585</v>
      </c>
      <c r="G18" s="173"/>
      <c r="H18" s="174">
        <v>1036</v>
      </c>
      <c r="I18" s="173"/>
      <c r="J18" s="176">
        <v>1707</v>
      </c>
      <c r="K18" s="177">
        <v>1414</v>
      </c>
      <c r="L18" s="173">
        <v>1150</v>
      </c>
      <c r="M18" s="178">
        <v>2717</v>
      </c>
      <c r="N18" s="178">
        <v>2630</v>
      </c>
      <c r="O18" s="173">
        <v>441</v>
      </c>
      <c r="P18" s="173">
        <v>261</v>
      </c>
      <c r="Q18" s="178">
        <v>1474</v>
      </c>
      <c r="R18" s="173">
        <v>228</v>
      </c>
      <c r="S18" s="179">
        <v>867</v>
      </c>
      <c r="T18" s="177">
        <v>324</v>
      </c>
      <c r="U18" s="179">
        <v>900</v>
      </c>
      <c r="V18" s="177">
        <v>255</v>
      </c>
      <c r="W18" s="179">
        <v>300</v>
      </c>
      <c r="X18" s="177">
        <v>295</v>
      </c>
      <c r="Y18" s="179">
        <v>300</v>
      </c>
      <c r="Z18" s="177">
        <v>100</v>
      </c>
      <c r="AA18" s="176">
        <v>0</v>
      </c>
      <c r="AB18" s="180">
        <v>0</v>
      </c>
      <c r="AC18" s="181"/>
    </row>
    <row r="19" spans="2:31">
      <c r="C19" s="171"/>
      <c r="D19" s="172"/>
      <c r="E19" s="173"/>
      <c r="F19" s="174"/>
      <c r="G19" s="173"/>
      <c r="H19" s="174"/>
      <c r="I19" s="173"/>
      <c r="J19" s="176"/>
      <c r="K19" s="177"/>
      <c r="L19" s="173"/>
      <c r="M19" s="178"/>
      <c r="N19" s="178"/>
      <c r="O19" s="173"/>
      <c r="P19" s="173"/>
      <c r="Q19" s="206"/>
      <c r="R19" s="207"/>
      <c r="S19" s="208"/>
      <c r="T19" s="209"/>
      <c r="U19" s="208"/>
      <c r="V19" s="209"/>
      <c r="W19" s="208"/>
      <c r="X19" s="209"/>
      <c r="Y19" s="208"/>
      <c r="Z19" s="209"/>
      <c r="AA19" s="210"/>
      <c r="AB19" s="180" t="s">
        <v>215</v>
      </c>
      <c r="AC19" s="181"/>
    </row>
    <row r="20" spans="2:31" ht="13.5" thickBot="1">
      <c r="B20" s="113">
        <v>2</v>
      </c>
      <c r="C20" s="171"/>
      <c r="D20" s="172"/>
      <c r="E20" s="211"/>
      <c r="F20" s="212"/>
      <c r="G20" s="211"/>
      <c r="H20" s="212"/>
      <c r="I20" s="211"/>
      <c r="J20" s="213"/>
      <c r="K20" s="214"/>
      <c r="L20" s="211"/>
      <c r="M20" s="215"/>
      <c r="N20" s="215"/>
      <c r="O20" s="211"/>
      <c r="P20" s="211"/>
      <c r="Q20" s="216"/>
      <c r="R20" s="217"/>
      <c r="S20" s="218"/>
      <c r="T20" s="219"/>
      <c r="U20" s="218"/>
      <c r="V20" s="219"/>
      <c r="W20" s="218"/>
      <c r="X20" s="219"/>
      <c r="Y20" s="218"/>
      <c r="Z20" s="219"/>
      <c r="AA20" s="220"/>
      <c r="AB20" s="221" t="s">
        <v>215</v>
      </c>
      <c r="AC20" s="166"/>
    </row>
    <row r="21" spans="2:31" ht="13.5" thickBot="1">
      <c r="C21" s="222"/>
      <c r="D21" s="223"/>
      <c r="E21" s="224"/>
      <c r="F21" s="225"/>
      <c r="G21" s="224"/>
      <c r="H21" s="225"/>
      <c r="I21" s="224"/>
      <c r="J21" s="226"/>
      <c r="K21" s="227"/>
      <c r="L21" s="228"/>
      <c r="M21" s="229"/>
      <c r="N21" s="229"/>
      <c r="O21" s="228"/>
      <c r="P21" s="228"/>
      <c r="Q21" s="229"/>
      <c r="R21" s="228"/>
      <c r="S21" s="230"/>
      <c r="T21" s="227"/>
      <c r="U21" s="230"/>
      <c r="V21" s="227"/>
      <c r="W21" s="230"/>
      <c r="X21" s="227"/>
      <c r="Y21" s="230"/>
      <c r="Z21" s="227"/>
      <c r="AA21" s="231"/>
      <c r="AB21" s="232" t="s">
        <v>215</v>
      </c>
      <c r="AC21" s="181"/>
    </row>
    <row r="22" spans="2:31" ht="21" customHeight="1" thickBot="1">
      <c r="C22" s="233"/>
      <c r="D22" s="234" t="s">
        <v>198</v>
      </c>
      <c r="E22" s="235">
        <v>141142</v>
      </c>
      <c r="F22" s="236">
        <v>176388</v>
      </c>
      <c r="G22" s="235"/>
      <c r="H22" s="237">
        <v>175615</v>
      </c>
      <c r="I22" s="235"/>
      <c r="J22" s="235">
        <v>184986</v>
      </c>
      <c r="K22" s="235">
        <v>190776</v>
      </c>
      <c r="L22" s="235">
        <v>206051</v>
      </c>
      <c r="M22" s="235">
        <v>201717</v>
      </c>
      <c r="N22" s="238">
        <v>211271</v>
      </c>
      <c r="O22" s="235">
        <v>217255</v>
      </c>
      <c r="P22" s="235">
        <v>220081</v>
      </c>
      <c r="Q22" s="238">
        <v>212714</v>
      </c>
      <c r="R22" s="235">
        <v>215752</v>
      </c>
      <c r="S22" s="239">
        <v>218258</v>
      </c>
      <c r="T22" s="240">
        <v>228911</v>
      </c>
      <c r="U22" s="239">
        <v>228060</v>
      </c>
      <c r="V22" s="240">
        <v>216203</v>
      </c>
      <c r="W22" s="239">
        <v>214984</v>
      </c>
      <c r="X22" s="240">
        <v>204432</v>
      </c>
      <c r="Y22" s="239">
        <v>200380</v>
      </c>
      <c r="Z22" s="240">
        <v>201488</v>
      </c>
      <c r="AA22" s="240">
        <v>199378</v>
      </c>
      <c r="AB22" s="241">
        <v>99</v>
      </c>
      <c r="AC22" s="242"/>
    </row>
    <row r="23" spans="2:31" ht="13.5" thickTop="1">
      <c r="D23" s="243"/>
      <c r="E23" s="244"/>
      <c r="F23" s="244"/>
      <c r="G23" s="244"/>
      <c r="H23" s="244"/>
      <c r="I23" s="244"/>
      <c r="J23" s="244"/>
      <c r="K23" s="244"/>
      <c r="L23" s="244"/>
      <c r="M23" s="244"/>
      <c r="N23" s="245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</row>
    <row r="24" spans="2:31">
      <c r="D24" s="246" t="s">
        <v>199</v>
      </c>
      <c r="E24" s="247"/>
      <c r="F24" s="247"/>
      <c r="G24" s="247"/>
      <c r="H24" s="247"/>
      <c r="I24" s="247"/>
      <c r="J24" s="247"/>
      <c r="K24" s="247"/>
      <c r="L24" s="247"/>
      <c r="M24" s="247"/>
      <c r="N24" s="248"/>
      <c r="O24" s="247"/>
      <c r="P24" s="247"/>
      <c r="Q24" s="247"/>
      <c r="R24" s="247"/>
      <c r="S24" s="247"/>
      <c r="T24" s="247"/>
      <c r="U24" s="247"/>
      <c r="V24" s="247"/>
      <c r="W24" s="247"/>
      <c r="X24" s="247"/>
      <c r="Y24" s="247"/>
      <c r="Z24" s="247"/>
      <c r="AA24" s="247"/>
      <c r="AB24" s="247"/>
      <c r="AC24" s="246"/>
    </row>
    <row r="25" spans="2:31">
      <c r="D25" s="246" t="s">
        <v>200</v>
      </c>
      <c r="E25" s="247"/>
      <c r="F25" s="247"/>
      <c r="G25" s="247"/>
      <c r="H25" s="247"/>
      <c r="I25" s="247"/>
      <c r="J25" s="247"/>
      <c r="K25" s="247"/>
      <c r="L25" s="247"/>
      <c r="M25" s="247"/>
      <c r="N25" s="248"/>
      <c r="O25" s="247"/>
      <c r="P25" s="247"/>
      <c r="Q25" s="247"/>
      <c r="R25" s="247"/>
      <c r="S25" s="247"/>
      <c r="T25" s="247"/>
      <c r="U25" s="247"/>
      <c r="V25" s="247"/>
      <c r="W25" s="247"/>
      <c r="X25" s="247"/>
      <c r="Y25" s="247"/>
      <c r="Z25" s="247"/>
      <c r="AA25" s="247"/>
      <c r="AB25" s="247"/>
      <c r="AC25" s="246"/>
    </row>
    <row r="26" spans="2:31">
      <c r="D26" s="246" t="s">
        <v>201</v>
      </c>
      <c r="E26" s="247"/>
      <c r="F26" s="247"/>
      <c r="G26" s="247"/>
      <c r="H26" s="247"/>
      <c r="I26" s="247"/>
      <c r="J26" s="247"/>
      <c r="K26" s="247"/>
      <c r="L26" s="247"/>
      <c r="M26" s="247"/>
      <c r="N26" s="248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47"/>
      <c r="AB26" s="247"/>
      <c r="AC26" s="246"/>
    </row>
    <row r="27" spans="2:31">
      <c r="D27" s="246" t="s">
        <v>202</v>
      </c>
      <c r="E27" s="247"/>
      <c r="F27" s="247"/>
      <c r="G27" s="247"/>
      <c r="H27" s="247"/>
      <c r="I27" s="247"/>
      <c r="J27" s="247"/>
      <c r="K27" s="247"/>
      <c r="L27" s="247"/>
      <c r="M27" s="247"/>
      <c r="N27" s="248"/>
      <c r="O27" s="247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6"/>
    </row>
    <row r="28" spans="2:31">
      <c r="D28" s="246" t="s">
        <v>203</v>
      </c>
      <c r="E28" s="247"/>
      <c r="F28" s="247"/>
      <c r="G28" s="247"/>
      <c r="H28" s="247"/>
      <c r="I28" s="247"/>
      <c r="J28" s="247"/>
      <c r="K28" s="247"/>
      <c r="L28" s="247"/>
      <c r="M28" s="247"/>
      <c r="N28" s="248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7"/>
      <c r="Z28" s="247"/>
      <c r="AA28" s="247"/>
      <c r="AB28" s="247"/>
      <c r="AC28" s="246"/>
    </row>
    <row r="29" spans="2:31">
      <c r="D29" s="246" t="s">
        <v>204</v>
      </c>
      <c r="E29" s="247"/>
      <c r="F29" s="247"/>
      <c r="G29" s="247"/>
      <c r="H29" s="247"/>
      <c r="I29" s="247"/>
      <c r="J29" s="247"/>
      <c r="K29" s="247"/>
      <c r="L29" s="247"/>
      <c r="M29" s="247"/>
      <c r="N29" s="248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6"/>
    </row>
    <row r="30" spans="2:31">
      <c r="D30" s="249" t="s">
        <v>205</v>
      </c>
      <c r="E30" s="247"/>
      <c r="F30" s="247"/>
      <c r="G30" s="247"/>
      <c r="H30" s="247"/>
      <c r="I30" s="247"/>
      <c r="J30" s="247"/>
      <c r="K30" s="247"/>
      <c r="L30" s="247"/>
      <c r="M30" s="247"/>
      <c r="N30" s="248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7"/>
      <c r="AA30" s="247"/>
      <c r="AB30" s="247"/>
      <c r="AC30" s="246"/>
    </row>
    <row r="31" spans="2:31">
      <c r="D31" s="249" t="s">
        <v>206</v>
      </c>
      <c r="E31" s="247"/>
      <c r="F31" s="247"/>
      <c r="G31" s="247"/>
      <c r="H31" s="247"/>
      <c r="I31" s="247"/>
      <c r="J31" s="247"/>
      <c r="K31" s="247"/>
      <c r="L31" s="247"/>
      <c r="M31" s="247"/>
      <c r="N31" s="248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47"/>
      <c r="AB31" s="247"/>
      <c r="AC31" s="246"/>
    </row>
    <row r="32" spans="2:31">
      <c r="D32" s="246"/>
      <c r="E32" s="247"/>
      <c r="F32" s="247"/>
      <c r="G32" s="247"/>
      <c r="H32" s="247"/>
      <c r="I32" s="247"/>
      <c r="J32" s="247"/>
      <c r="K32" s="247"/>
      <c r="L32" s="247"/>
      <c r="M32" s="247"/>
      <c r="N32" s="248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7"/>
      <c r="AA32" s="247"/>
      <c r="AB32" s="247"/>
      <c r="AC32" s="246"/>
      <c r="AD32" s="246"/>
      <c r="AE32" s="246"/>
    </row>
    <row r="33" spans="4:29">
      <c r="D33" s="250" t="s">
        <v>207</v>
      </c>
      <c r="E33" s="251"/>
      <c r="F33" s="251"/>
      <c r="G33" s="251"/>
      <c r="H33" s="251"/>
      <c r="I33" s="251"/>
      <c r="J33" s="251"/>
      <c r="K33" s="251"/>
      <c r="L33" s="251"/>
      <c r="M33" s="251"/>
      <c r="N33" s="252"/>
      <c r="O33" s="251"/>
      <c r="P33" s="251"/>
      <c r="Q33" s="251"/>
      <c r="R33" s="251"/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126"/>
    </row>
    <row r="34" spans="4:29">
      <c r="D34" s="253" t="s">
        <v>208</v>
      </c>
      <c r="E34" s="254">
        <v>2189.1999999999998</v>
      </c>
      <c r="F34" s="255">
        <v>2352.1999999999998</v>
      </c>
      <c r="G34" s="256"/>
      <c r="H34" s="255">
        <v>2464.4</v>
      </c>
      <c r="I34" s="257"/>
      <c r="J34" s="258">
        <v>2577.1</v>
      </c>
      <c r="K34" s="258">
        <v>2814.8</v>
      </c>
      <c r="L34" s="258">
        <v>2984</v>
      </c>
      <c r="M34" s="258">
        <v>2907</v>
      </c>
      <c r="N34" s="259">
        <v>3202</v>
      </c>
      <c r="O34" s="258">
        <v>3353</v>
      </c>
      <c r="P34" s="258">
        <v>3663</v>
      </c>
      <c r="Q34" s="258">
        <v>3516</v>
      </c>
      <c r="R34" s="258">
        <v>3848</v>
      </c>
      <c r="S34" s="258">
        <v>3827</v>
      </c>
      <c r="T34" s="258">
        <v>3739</v>
      </c>
      <c r="U34" s="258">
        <v>3634</v>
      </c>
      <c r="V34" s="258">
        <v>3775</v>
      </c>
      <c r="W34" s="258">
        <v>3678</v>
      </c>
      <c r="X34" s="258">
        <v>3808</v>
      </c>
      <c r="Y34" s="258">
        <v>3729</v>
      </c>
      <c r="Z34" s="258">
        <v>3820</v>
      </c>
      <c r="AA34" s="258">
        <v>3882</v>
      </c>
      <c r="AB34" s="260"/>
      <c r="AC34" s="260"/>
    </row>
    <row r="35" spans="4:29">
      <c r="D35" s="261" t="s">
        <v>209</v>
      </c>
      <c r="E35" s="262">
        <v>6.4471953224922345</v>
      </c>
      <c r="F35" s="263">
        <v>7.4988521384236035</v>
      </c>
      <c r="G35" s="262"/>
      <c r="H35" s="263">
        <v>7.1260753124492773</v>
      </c>
      <c r="I35" s="262"/>
      <c r="J35" s="262">
        <v>7.1780683714252458</v>
      </c>
      <c r="K35" s="262">
        <v>6.7776040926531191</v>
      </c>
      <c r="L35" s="262">
        <v>6.9051943699731906</v>
      </c>
      <c r="M35" s="262">
        <v>6.9390092879256962</v>
      </c>
      <c r="N35" s="264">
        <v>6.5980949406620857</v>
      </c>
      <c r="O35" s="262">
        <v>6.4794214136594102</v>
      </c>
      <c r="P35" s="262">
        <v>6.0082173082173087</v>
      </c>
      <c r="Q35" s="262">
        <v>6.0498862343572242</v>
      </c>
      <c r="R35" s="262">
        <v>5.606860706860707</v>
      </c>
      <c r="S35" s="262">
        <v>5.7031094852364772</v>
      </c>
      <c r="T35" s="262">
        <v>6.1222519390211279</v>
      </c>
      <c r="U35" s="262">
        <v>6.2757292239955982</v>
      </c>
      <c r="V35" s="262">
        <v>5.7272317880794708</v>
      </c>
      <c r="W35" s="262">
        <v>5.8451332245785759</v>
      </c>
      <c r="X35" s="262">
        <v>5.3684873949579837</v>
      </c>
      <c r="Y35" s="262">
        <v>5.3735585947975322</v>
      </c>
      <c r="Z35" s="262">
        <v>5.2745549738219895</v>
      </c>
      <c r="AA35" s="262">
        <v>5.1359608449252958</v>
      </c>
      <c r="AB35" s="265"/>
      <c r="AC35" s="266"/>
    </row>
    <row r="36" spans="4:29">
      <c r="D36" s="261"/>
      <c r="E36" s="267"/>
      <c r="F36" s="268"/>
      <c r="G36" s="267"/>
      <c r="H36" s="268"/>
      <c r="I36" s="267"/>
      <c r="J36" s="267"/>
      <c r="K36" s="267"/>
      <c r="L36" s="267"/>
      <c r="M36" s="267"/>
      <c r="N36" s="269"/>
      <c r="O36" s="267"/>
      <c r="P36" s="267"/>
      <c r="Q36" s="267"/>
      <c r="R36" s="267"/>
      <c r="S36" s="267"/>
      <c r="T36" s="267"/>
      <c r="U36" s="267"/>
      <c r="V36" s="267"/>
      <c r="W36" s="267"/>
      <c r="X36" s="267"/>
      <c r="Y36" s="267"/>
      <c r="Z36" s="267"/>
      <c r="AA36" s="267"/>
      <c r="AB36" s="266"/>
      <c r="AC36" s="266"/>
    </row>
    <row r="37" spans="4:29">
      <c r="D37" s="270" t="s">
        <v>210</v>
      </c>
      <c r="E37" s="271">
        <v>632268</v>
      </c>
      <c r="F37" s="272">
        <v>693920</v>
      </c>
      <c r="G37" s="256"/>
      <c r="H37" s="255">
        <v>750682</v>
      </c>
      <c r="I37" s="257"/>
      <c r="J37" s="257">
        <v>808718</v>
      </c>
      <c r="K37" s="257">
        <v>862892</v>
      </c>
      <c r="L37" s="257">
        <v>922798</v>
      </c>
      <c r="M37" s="257">
        <v>892269</v>
      </c>
      <c r="N37" s="273">
        <v>958792</v>
      </c>
      <c r="O37" s="257">
        <v>1020640</v>
      </c>
      <c r="P37" s="257">
        <v>1092275</v>
      </c>
      <c r="Q37" s="257">
        <v>1040777</v>
      </c>
      <c r="R37" s="257">
        <v>1083944</v>
      </c>
      <c r="S37" s="257">
        <v>1107311</v>
      </c>
      <c r="T37" s="257">
        <v>1167009</v>
      </c>
      <c r="U37" s="257">
        <v>1152102</v>
      </c>
      <c r="V37" s="257">
        <v>1156793</v>
      </c>
      <c r="W37" s="257">
        <v>1184919</v>
      </c>
      <c r="X37" s="257">
        <v>1155526</v>
      </c>
      <c r="Y37" s="257">
        <v>1190701</v>
      </c>
      <c r="Z37" s="257">
        <v>1189701</v>
      </c>
      <c r="AA37" s="257">
        <v>1180768</v>
      </c>
      <c r="AB37" s="266"/>
      <c r="AC37" s="266"/>
    </row>
    <row r="38" spans="4:29">
      <c r="D38" s="261" t="s">
        <v>211</v>
      </c>
      <c r="E38" s="262">
        <v>22.323128799812739</v>
      </c>
      <c r="F38" s="263">
        <v>25.419068480516486</v>
      </c>
      <c r="G38" s="262"/>
      <c r="H38" s="263">
        <v>23.394060334469188</v>
      </c>
      <c r="I38" s="262"/>
      <c r="J38" s="262">
        <v>22.87398079429418</v>
      </c>
      <c r="K38" s="262">
        <v>22.108908183179356</v>
      </c>
      <c r="L38" s="262">
        <v>22.328938727652208</v>
      </c>
      <c r="M38" s="262">
        <v>22.607195812025296</v>
      </c>
      <c r="N38" s="264">
        <v>22.03512336356582</v>
      </c>
      <c r="O38" s="262">
        <v>21.286153785859852</v>
      </c>
      <c r="P38" s="262">
        <v>20.148863610354535</v>
      </c>
      <c r="Q38" s="262">
        <v>20.437999686772478</v>
      </c>
      <c r="R38" s="262">
        <v>19.904349302177973</v>
      </c>
      <c r="S38" s="262">
        <v>19.710632333644295</v>
      </c>
      <c r="T38" s="262">
        <v>19.615187200784227</v>
      </c>
      <c r="U38" s="262">
        <v>19.79512230687908</v>
      </c>
      <c r="V38" s="262">
        <v>18.689860675159686</v>
      </c>
      <c r="W38" s="262">
        <v>18.143349882987785</v>
      </c>
      <c r="X38" s="262">
        <v>17.69168326805282</v>
      </c>
      <c r="Y38" s="262">
        <v>16.828742060349324</v>
      </c>
      <c r="Z38" s="262">
        <v>16.936020058821502</v>
      </c>
      <c r="AA38" s="262">
        <v>16.885450825225615</v>
      </c>
      <c r="AB38" s="266"/>
      <c r="AC38" s="266"/>
    </row>
    <row r="39" spans="4:29">
      <c r="D39" s="274"/>
      <c r="E39" s="267"/>
      <c r="F39" s="268"/>
      <c r="G39" s="267"/>
      <c r="H39" s="268"/>
      <c r="I39" s="267"/>
      <c r="J39" s="267"/>
      <c r="K39" s="267"/>
      <c r="L39" s="267"/>
      <c r="M39" s="267"/>
      <c r="N39" s="269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7"/>
      <c r="AA39" s="267"/>
      <c r="AB39" s="266"/>
      <c r="AC39" s="266"/>
    </row>
    <row r="40" spans="4:29">
      <c r="D40" s="275" t="s">
        <v>212</v>
      </c>
      <c r="E40" s="271">
        <v>586207</v>
      </c>
      <c r="F40" s="272">
        <v>626216</v>
      </c>
      <c r="G40" s="256"/>
      <c r="H40" s="255">
        <v>704967</v>
      </c>
      <c r="I40" s="257"/>
      <c r="J40" s="257">
        <v>699665</v>
      </c>
      <c r="K40" s="257">
        <v>769207</v>
      </c>
      <c r="L40" s="257">
        <v>866460</v>
      </c>
      <c r="M40" s="257">
        <v>819718</v>
      </c>
      <c r="N40" s="273">
        <v>884392</v>
      </c>
      <c r="O40" s="257">
        <v>923060</v>
      </c>
      <c r="P40" s="257">
        <v>1025883</v>
      </c>
      <c r="Q40" s="257">
        <v>949477</v>
      </c>
      <c r="R40" s="257">
        <v>1063941</v>
      </c>
      <c r="S40" s="257">
        <v>1036511</v>
      </c>
      <c r="T40" s="257">
        <v>974615</v>
      </c>
      <c r="U40" s="257">
        <v>1114002</v>
      </c>
      <c r="V40" s="257">
        <v>1000377</v>
      </c>
      <c r="W40" s="257">
        <v>1022219</v>
      </c>
      <c r="X40" s="257">
        <v>1012755</v>
      </c>
      <c r="Y40" s="257">
        <v>1055701</v>
      </c>
      <c r="Z40" s="257">
        <v>1084701</v>
      </c>
      <c r="AA40" s="257">
        <v>1080768</v>
      </c>
      <c r="AB40" s="266"/>
      <c r="AC40" s="266"/>
    </row>
    <row r="41" spans="4:29">
      <c r="D41" s="261" t="s">
        <v>213</v>
      </c>
      <c r="E41" s="262">
        <v>24.077160456971683</v>
      </c>
      <c r="F41" s="263">
        <v>28.167277744420456</v>
      </c>
      <c r="G41" s="262"/>
      <c r="H41" s="263">
        <v>24.911095129275555</v>
      </c>
      <c r="I41" s="262"/>
      <c r="J41" s="262">
        <v>26.439224486004015</v>
      </c>
      <c r="K41" s="262">
        <v>24.801646370872859</v>
      </c>
      <c r="L41" s="262">
        <v>23.780786187475474</v>
      </c>
      <c r="M41" s="262">
        <v>24.608096930895748</v>
      </c>
      <c r="N41" s="264">
        <v>23.888841147364516</v>
      </c>
      <c r="O41" s="262">
        <v>23.536389833813619</v>
      </c>
      <c r="P41" s="262">
        <v>21.452836239610171</v>
      </c>
      <c r="Q41" s="262">
        <v>22.403280964151843</v>
      </c>
      <c r="R41" s="262">
        <v>20.278568078493077</v>
      </c>
      <c r="S41" s="262">
        <v>21.056988300172407</v>
      </c>
      <c r="T41" s="262">
        <v>23.487325764532663</v>
      </c>
      <c r="U41" s="262">
        <v>20.472135597602158</v>
      </c>
      <c r="V41" s="262">
        <v>21.612152218613584</v>
      </c>
      <c r="W41" s="262">
        <v>21.031109771976457</v>
      </c>
      <c r="X41" s="262">
        <v>20.185731001081209</v>
      </c>
      <c r="Y41" s="262">
        <v>18.980753073076563</v>
      </c>
      <c r="Z41" s="262">
        <v>18.575441527204269</v>
      </c>
      <c r="AA41" s="262">
        <v>18.447807485047672</v>
      </c>
      <c r="AB41" s="266"/>
      <c r="AC41" s="266"/>
    </row>
    <row r="43" spans="4:29">
      <c r="D43" s="276" t="s">
        <v>216</v>
      </c>
    </row>
    <row r="44" spans="4:29">
      <c r="E44" s="195"/>
      <c r="F44" s="195"/>
      <c r="G44" s="195"/>
      <c r="H44" s="195"/>
      <c r="I44" s="195"/>
      <c r="J44" s="195"/>
      <c r="K44" s="195"/>
      <c r="L44" s="195"/>
      <c r="M44" s="195"/>
      <c r="N44" s="277"/>
      <c r="O44" s="195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</row>
    <row r="46" spans="4:29">
      <c r="D46" s="274"/>
      <c r="E46" s="266"/>
      <c r="F46" s="266"/>
      <c r="G46" s="266"/>
      <c r="H46" s="266"/>
      <c r="I46" s="266"/>
      <c r="J46" s="266"/>
      <c r="K46" s="266"/>
      <c r="L46" s="266"/>
      <c r="M46" s="266"/>
      <c r="N46" s="278"/>
      <c r="O46" s="266"/>
      <c r="P46" s="266"/>
      <c r="Q46" s="266"/>
      <c r="R46" s="266"/>
      <c r="S46" s="266"/>
      <c r="T46" s="266"/>
      <c r="U46" s="266"/>
      <c r="V46" s="266"/>
      <c r="W46" s="266"/>
      <c r="X46" s="266"/>
      <c r="Y46" s="266"/>
      <c r="Z46" s="266"/>
      <c r="AA46" s="266"/>
      <c r="AB46" s="266"/>
      <c r="AC46" s="266"/>
    </row>
    <row r="47" spans="4:29">
      <c r="D47" s="279"/>
      <c r="E47" s="266"/>
      <c r="F47" s="266"/>
      <c r="G47" s="266"/>
      <c r="H47" s="266"/>
      <c r="I47" s="266"/>
      <c r="J47" s="266"/>
      <c r="K47" s="266"/>
      <c r="L47" s="266"/>
      <c r="M47" s="266"/>
      <c r="N47" s="278"/>
      <c r="O47" s="266"/>
      <c r="P47" s="266"/>
      <c r="Q47" s="266"/>
      <c r="R47" s="266"/>
      <c r="S47" s="266"/>
      <c r="T47" s="266"/>
      <c r="U47" s="266"/>
      <c r="V47" s="266"/>
      <c r="W47" s="266"/>
      <c r="X47" s="266"/>
      <c r="Y47" s="266"/>
      <c r="Z47" s="266"/>
      <c r="AA47" s="266"/>
      <c r="AB47" s="266"/>
      <c r="AC47" s="266"/>
    </row>
  </sheetData>
  <phoneticPr fontId="31" type="noConversion"/>
  <printOptions horizontalCentered="1"/>
  <pageMargins left="0.51181102362204722" right="0.51181102362204722" top="0.70866141732283472" bottom="0.47244094488188981" header="0.55118110236220474" footer="0.31496062992125984"/>
  <pageSetup paperSize="9" scale="60" firstPageNumber="4" orientation="landscape" useFirstPageNumber="1" r:id="rId1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45"/>
  <sheetViews>
    <sheetView showGridLines="0" zoomScaleNormal="100" workbookViewId="0">
      <selection activeCell="D101" sqref="D101"/>
    </sheetView>
  </sheetViews>
  <sheetFormatPr defaultRowHeight="20.100000000000001" customHeight="1"/>
  <cols>
    <col min="1" max="1" width="38" style="1" customWidth="1"/>
    <col min="2" max="2" width="22.83203125" style="1" customWidth="1"/>
    <col min="3" max="3" width="31.1640625" style="1" customWidth="1"/>
    <col min="4" max="4" width="27.5" style="1" customWidth="1"/>
    <col min="5" max="5" width="26.5" style="1" customWidth="1"/>
    <col min="6" max="16384" width="9.33203125" style="1"/>
  </cols>
  <sheetData>
    <row r="1" spans="1:9" ht="20.100000000000001" customHeight="1">
      <c r="D1" s="40"/>
      <c r="E1" s="1" t="s">
        <v>23</v>
      </c>
    </row>
    <row r="2" spans="1:9" ht="20.100000000000001" customHeight="1">
      <c r="D2" s="40"/>
      <c r="E2" s="46" t="s">
        <v>21</v>
      </c>
    </row>
    <row r="3" spans="1:9" ht="20.100000000000001" customHeight="1">
      <c r="A3" s="571"/>
      <c r="B3" s="571"/>
      <c r="C3" s="571"/>
      <c r="D3" s="571"/>
      <c r="E3" s="571"/>
    </row>
    <row r="4" spans="1:9" ht="9.75" customHeight="1"/>
    <row r="5" spans="1:9" ht="17.25" customHeight="1">
      <c r="A5" s="571" t="s">
        <v>31</v>
      </c>
      <c r="B5" s="571"/>
      <c r="C5" s="571"/>
      <c r="D5" s="571"/>
      <c r="E5" s="571"/>
      <c r="F5" s="3"/>
    </row>
    <row r="6" spans="1:9" ht="9" customHeight="1">
      <c r="A6" s="4"/>
    </row>
    <row r="7" spans="1:9" ht="12.75" customHeight="1">
      <c r="A7" s="2" t="s">
        <v>18</v>
      </c>
      <c r="B7" s="572"/>
      <c r="C7" s="572"/>
      <c r="D7" s="572"/>
      <c r="E7" s="572"/>
    </row>
    <row r="8" spans="1:9" ht="12.75" customHeight="1">
      <c r="A8" s="2" t="s">
        <v>19</v>
      </c>
      <c r="B8" s="5"/>
      <c r="C8" s="5"/>
      <c r="D8" s="5"/>
      <c r="E8" s="5"/>
    </row>
    <row r="9" spans="1:9" ht="13.5" customHeight="1" thickBot="1">
      <c r="A9" s="6"/>
      <c r="C9" s="7"/>
      <c r="D9" s="570" t="s">
        <v>0</v>
      </c>
      <c r="E9" s="570"/>
    </row>
    <row r="10" spans="1:9" s="2" customFormat="1" ht="22.5" customHeight="1">
      <c r="A10" s="573" t="s">
        <v>1</v>
      </c>
      <c r="B10" s="573" t="s">
        <v>2</v>
      </c>
      <c r="C10" s="575" t="s">
        <v>3</v>
      </c>
      <c r="D10" s="576"/>
      <c r="E10" s="577"/>
      <c r="F10" s="8"/>
      <c r="G10" s="8"/>
      <c r="H10" s="8"/>
      <c r="I10" s="8"/>
    </row>
    <row r="11" spans="1:9" s="2" customFormat="1" ht="33" customHeight="1" thickBot="1">
      <c r="A11" s="574"/>
      <c r="B11" s="574"/>
      <c r="C11" s="9" t="s">
        <v>15</v>
      </c>
      <c r="D11" s="10" t="s">
        <v>16</v>
      </c>
      <c r="E11" s="11">
        <v>2013</v>
      </c>
      <c r="F11" s="8"/>
      <c r="G11" s="8"/>
      <c r="H11" s="8"/>
      <c r="I11" s="8"/>
    </row>
    <row r="12" spans="1:9" s="2" customFormat="1" ht="39" customHeight="1">
      <c r="A12" s="43" t="s">
        <v>4</v>
      </c>
      <c r="B12" s="12" t="s">
        <v>17</v>
      </c>
      <c r="C12" s="27">
        <v>0</v>
      </c>
      <c r="D12" s="28">
        <v>3000</v>
      </c>
      <c r="E12" s="29">
        <v>5100</v>
      </c>
      <c r="F12" s="8"/>
      <c r="G12" s="8"/>
      <c r="H12" s="8"/>
      <c r="I12" s="8"/>
    </row>
    <row r="13" spans="1:9" s="2" customFormat="1" ht="34.5" customHeight="1">
      <c r="A13" s="45" t="s">
        <v>5</v>
      </c>
      <c r="B13" s="13" t="s">
        <v>20</v>
      </c>
      <c r="C13" s="30">
        <v>0</v>
      </c>
      <c r="D13" s="31">
        <v>0</v>
      </c>
      <c r="E13" s="32">
        <v>0</v>
      </c>
      <c r="F13" s="8"/>
      <c r="G13" s="8"/>
      <c r="H13" s="8"/>
      <c r="I13" s="8"/>
    </row>
    <row r="14" spans="1:9" s="2" customFormat="1" ht="30" customHeight="1" thickBot="1">
      <c r="A14" s="44" t="s">
        <v>6</v>
      </c>
      <c r="B14" s="14" t="s">
        <v>20</v>
      </c>
      <c r="C14" s="33">
        <v>0</v>
      </c>
      <c r="D14" s="34">
        <v>0</v>
      </c>
      <c r="E14" s="35">
        <v>0</v>
      </c>
      <c r="F14" s="8"/>
      <c r="G14" s="8"/>
      <c r="H14" s="8"/>
      <c r="I14" s="8"/>
    </row>
    <row r="15" spans="1:9" s="2" customFormat="1" ht="30" customHeight="1" thickBot="1">
      <c r="A15" s="15" t="s">
        <v>7</v>
      </c>
      <c r="B15" s="16"/>
      <c r="C15" s="36">
        <v>0</v>
      </c>
      <c r="D15" s="37">
        <f>SUM(D12:D14)</f>
        <v>3000</v>
      </c>
      <c r="E15" s="38">
        <v>5100</v>
      </c>
      <c r="F15" s="8"/>
      <c r="G15" s="8"/>
      <c r="H15" s="8"/>
      <c r="I15" s="8"/>
    </row>
    <row r="16" spans="1:9" s="2" customFormat="1" ht="6" customHeight="1">
      <c r="A16" s="17"/>
      <c r="B16" s="18"/>
      <c r="C16" s="18"/>
      <c r="D16" s="1"/>
      <c r="E16" s="1"/>
      <c r="F16" s="8"/>
      <c r="G16" s="8"/>
      <c r="H16" s="8"/>
      <c r="I16" s="8"/>
    </row>
    <row r="17" spans="1:11" ht="15" customHeight="1">
      <c r="A17" s="19" t="s">
        <v>8</v>
      </c>
      <c r="B17" s="20"/>
      <c r="C17" s="20"/>
      <c r="D17" s="20"/>
      <c r="E17" s="20"/>
      <c r="F17" s="21"/>
      <c r="G17" s="18"/>
      <c r="H17" s="18"/>
      <c r="I17" s="18"/>
    </row>
    <row r="18" spans="1:11" s="22" customFormat="1" ht="13.5" customHeight="1">
      <c r="A18" s="569" t="s">
        <v>9</v>
      </c>
      <c r="B18" s="569"/>
      <c r="C18" s="569"/>
      <c r="D18" s="569"/>
      <c r="E18" s="569"/>
      <c r="F18" s="569"/>
      <c r="G18" s="569"/>
      <c r="H18" s="569"/>
      <c r="I18" s="569"/>
      <c r="J18" s="569"/>
    </row>
    <row r="19" spans="1:11" ht="14.25" customHeight="1">
      <c r="A19" s="23" t="s">
        <v>10</v>
      </c>
      <c r="B19" s="20"/>
      <c r="C19" s="20"/>
      <c r="D19" s="20"/>
      <c r="E19" s="20"/>
      <c r="F19" s="20"/>
    </row>
    <row r="20" spans="1:11" ht="12.75" customHeight="1">
      <c r="A20" s="24" t="s">
        <v>11</v>
      </c>
      <c r="B20" s="24"/>
      <c r="C20" s="24"/>
      <c r="D20" s="24"/>
      <c r="E20" s="24"/>
      <c r="F20" s="23"/>
    </row>
    <row r="21" spans="1:11" ht="14.25" customHeight="1">
      <c r="A21" s="23" t="s">
        <v>12</v>
      </c>
      <c r="B21" s="24"/>
      <c r="C21" s="24"/>
      <c r="D21" s="24"/>
      <c r="E21" s="24"/>
      <c r="F21" s="23"/>
    </row>
    <row r="22" spans="1:11" ht="13.5" customHeight="1">
      <c r="A22" s="23" t="s">
        <v>13</v>
      </c>
      <c r="B22" s="24"/>
      <c r="C22" s="24"/>
      <c r="D22" s="24"/>
      <c r="E22" s="24"/>
      <c r="F22" s="23"/>
    </row>
    <row r="23" spans="1:11" ht="15" customHeight="1">
      <c r="A23" s="568" t="s">
        <v>14</v>
      </c>
      <c r="B23" s="568"/>
      <c r="C23" s="568"/>
      <c r="D23" s="568"/>
      <c r="E23" s="568"/>
      <c r="F23" s="568"/>
      <c r="G23" s="568"/>
      <c r="H23" s="568"/>
      <c r="I23" s="568"/>
      <c r="J23" s="568"/>
      <c r="K23" s="568"/>
    </row>
    <row r="24" spans="1:11" ht="12" customHeight="1">
      <c r="A24" s="25"/>
      <c r="B24" s="26"/>
      <c r="C24" s="26"/>
      <c r="D24" s="26"/>
      <c r="E24" s="20"/>
      <c r="F24" s="20"/>
    </row>
    <row r="25" spans="1:11" ht="10.5" customHeight="1">
      <c r="A25" s="23"/>
    </row>
    <row r="26" spans="1:11" ht="12.75" customHeight="1">
      <c r="A26" s="21"/>
      <c r="B26" s="20"/>
      <c r="C26" s="20"/>
    </row>
    <row r="27" spans="1:11" ht="11.25" customHeight="1">
      <c r="A27" s="21"/>
      <c r="B27" s="20"/>
      <c r="C27" s="20"/>
    </row>
    <row r="28" spans="1:11" ht="18" customHeight="1"/>
    <row r="29" spans="1:11" ht="18" customHeight="1">
      <c r="D29" s="18"/>
      <c r="E29" s="18"/>
    </row>
    <row r="30" spans="1:11" ht="18" customHeight="1">
      <c r="D30" s="18"/>
      <c r="E30" s="18"/>
    </row>
    <row r="31" spans="1:11" ht="18" customHeight="1">
      <c r="D31" s="18"/>
      <c r="E31" s="18"/>
    </row>
    <row r="32" spans="1:11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</sheetData>
  <mergeCells count="9">
    <mergeCell ref="A23:K23"/>
    <mergeCell ref="A18:J18"/>
    <mergeCell ref="D9:E9"/>
    <mergeCell ref="A3:E3"/>
    <mergeCell ref="B7:E7"/>
    <mergeCell ref="A10:A11"/>
    <mergeCell ref="B10:B11"/>
    <mergeCell ref="C10:E10"/>
    <mergeCell ref="A5:E5"/>
  </mergeCells>
  <phoneticPr fontId="1" type="noConversion"/>
  <pageMargins left="0.78740157480314965" right="0.78740157480314965" top="0.78740157480314965" bottom="0.78740157480314965" header="0.51181102362204722" footer="0.51181102362204722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4"/>
  <sheetViews>
    <sheetView showGridLines="0" zoomScaleNormal="100" workbookViewId="0">
      <selection activeCell="D101" sqref="D101"/>
    </sheetView>
  </sheetViews>
  <sheetFormatPr defaultRowHeight="20.100000000000001" customHeight="1"/>
  <cols>
    <col min="1" max="1" width="38" style="1" customWidth="1"/>
    <col min="2" max="2" width="22.83203125" style="1" customWidth="1"/>
    <col min="3" max="3" width="31.1640625" style="1" customWidth="1"/>
    <col min="4" max="4" width="27.5" style="1" customWidth="1"/>
    <col min="5" max="5" width="26.5" style="1" customWidth="1"/>
    <col min="6" max="16384" width="9.33203125" style="1"/>
  </cols>
  <sheetData>
    <row r="1" spans="1:9" ht="20.100000000000001" customHeight="1">
      <c r="B1" s="41"/>
      <c r="C1" s="41"/>
      <c r="D1" s="41"/>
      <c r="E1" s="1" t="s">
        <v>23</v>
      </c>
    </row>
    <row r="2" spans="1:9" ht="20.100000000000001" customHeight="1">
      <c r="A2" s="41"/>
      <c r="B2" s="41"/>
      <c r="C2" s="41"/>
      <c r="D2" s="41"/>
      <c r="E2" s="46" t="s">
        <v>22</v>
      </c>
    </row>
    <row r="3" spans="1:9" ht="9.75" customHeight="1"/>
    <row r="4" spans="1:9" ht="17.25" customHeight="1">
      <c r="A4" s="571" t="s">
        <v>31</v>
      </c>
      <c r="B4" s="571"/>
      <c r="C4" s="571"/>
      <c r="D4" s="571"/>
      <c r="E4" s="571"/>
      <c r="F4" s="3"/>
    </row>
    <row r="5" spans="1:9" ht="9" customHeight="1">
      <c r="A5" s="4"/>
    </row>
    <row r="6" spans="1:9" ht="12.75" customHeight="1">
      <c r="A6" s="42" t="s">
        <v>32</v>
      </c>
    </row>
    <row r="7" spans="1:9" ht="12.75" customHeight="1">
      <c r="A7" s="2" t="s">
        <v>28</v>
      </c>
      <c r="B7" s="5"/>
      <c r="C7" s="5" t="s">
        <v>29</v>
      </c>
      <c r="D7" s="5"/>
      <c r="E7" s="5"/>
    </row>
    <row r="8" spans="1:9" ht="13.5" customHeight="1" thickBot="1">
      <c r="A8" s="6"/>
      <c r="C8" s="7"/>
      <c r="D8" s="570" t="s">
        <v>0</v>
      </c>
      <c r="E8" s="570"/>
    </row>
    <row r="9" spans="1:9" s="2" customFormat="1" ht="22.5" customHeight="1">
      <c r="A9" s="573" t="s">
        <v>1</v>
      </c>
      <c r="B9" s="573" t="s">
        <v>2</v>
      </c>
      <c r="C9" s="575" t="s">
        <v>3</v>
      </c>
      <c r="D9" s="576"/>
      <c r="E9" s="577"/>
      <c r="F9" s="8"/>
      <c r="G9" s="8"/>
      <c r="H9" s="8"/>
      <c r="I9" s="8"/>
    </row>
    <row r="10" spans="1:9" s="2" customFormat="1" ht="33" customHeight="1" thickBot="1">
      <c r="A10" s="574"/>
      <c r="B10" s="574"/>
      <c r="C10" s="9" t="s">
        <v>15</v>
      </c>
      <c r="D10" s="10" t="s">
        <v>16</v>
      </c>
      <c r="E10" s="11">
        <v>2013</v>
      </c>
      <c r="F10" s="8"/>
      <c r="G10" s="8"/>
      <c r="H10" s="8"/>
      <c r="I10" s="8"/>
    </row>
    <row r="11" spans="1:9" s="2" customFormat="1" ht="39" customHeight="1">
      <c r="A11" s="43" t="s">
        <v>4</v>
      </c>
      <c r="B11" s="12" t="s">
        <v>17</v>
      </c>
      <c r="C11" s="27">
        <f>588</f>
        <v>588</v>
      </c>
      <c r="D11" s="28"/>
      <c r="E11" s="29"/>
      <c r="F11" s="8"/>
      <c r="G11" s="8"/>
      <c r="H11" s="8"/>
      <c r="I11" s="8"/>
    </row>
    <row r="12" spans="1:9" s="2" customFormat="1" ht="34.5" customHeight="1">
      <c r="A12" s="45" t="s">
        <v>5</v>
      </c>
      <c r="B12" s="13" t="s">
        <v>17</v>
      </c>
      <c r="C12" s="30">
        <f>324+144+1836+816</f>
        <v>3120</v>
      </c>
      <c r="D12" s="31">
        <f>1380+239+574+239</f>
        <v>2432</v>
      </c>
      <c r="E12" s="32">
        <v>1500</v>
      </c>
      <c r="F12" s="8"/>
      <c r="G12" s="8"/>
      <c r="H12" s="8"/>
      <c r="I12" s="8"/>
    </row>
    <row r="13" spans="1:9" s="2" customFormat="1" ht="30" customHeight="1" thickBot="1">
      <c r="A13" s="44" t="s">
        <v>6</v>
      </c>
      <c r="B13" s="14" t="s">
        <v>17</v>
      </c>
      <c r="C13" s="33">
        <v>0</v>
      </c>
      <c r="D13" s="34">
        <v>40000</v>
      </c>
      <c r="E13" s="35">
        <v>50000</v>
      </c>
      <c r="F13" s="8"/>
      <c r="G13" s="8"/>
      <c r="H13" s="8"/>
      <c r="I13" s="8"/>
    </row>
    <row r="14" spans="1:9" s="2" customFormat="1" ht="30" customHeight="1" thickBot="1">
      <c r="A14" s="15" t="s">
        <v>7</v>
      </c>
      <c r="B14" s="16"/>
      <c r="C14" s="36">
        <f>SUM(C11:C13)</f>
        <v>3708</v>
      </c>
      <c r="D14" s="37">
        <f>SUM(D12:D13)</f>
        <v>42432</v>
      </c>
      <c r="E14" s="38">
        <f>SUM(E12:E13)</f>
        <v>51500</v>
      </c>
      <c r="F14" s="8"/>
      <c r="G14" s="8"/>
      <c r="H14" s="8"/>
      <c r="I14" s="8"/>
    </row>
    <row r="15" spans="1:9" s="2" customFormat="1" ht="6" customHeight="1">
      <c r="A15" s="17"/>
      <c r="B15" s="18"/>
      <c r="C15" s="18"/>
      <c r="D15" s="1"/>
      <c r="E15" s="1"/>
      <c r="F15" s="8"/>
      <c r="G15" s="8"/>
      <c r="H15" s="8"/>
      <c r="I15" s="8"/>
    </row>
    <row r="16" spans="1:9" ht="15" customHeight="1">
      <c r="A16" s="19" t="s">
        <v>8</v>
      </c>
      <c r="B16" s="20"/>
      <c r="C16" s="20"/>
      <c r="D16" s="20"/>
      <c r="E16" s="20"/>
      <c r="F16" s="21"/>
      <c r="G16" s="18"/>
      <c r="H16" s="18"/>
      <c r="I16" s="18"/>
    </row>
    <row r="17" spans="1:11" s="22" customFormat="1" ht="13.5" customHeight="1">
      <c r="A17" s="569" t="s">
        <v>9</v>
      </c>
      <c r="B17" s="569"/>
      <c r="C17" s="569"/>
      <c r="D17" s="569"/>
      <c r="E17" s="569"/>
      <c r="F17" s="569"/>
      <c r="G17" s="569"/>
      <c r="H17" s="569"/>
      <c r="I17" s="569"/>
      <c r="J17" s="569"/>
    </row>
    <row r="18" spans="1:11" ht="14.25" customHeight="1">
      <c r="A18" s="23" t="s">
        <v>10</v>
      </c>
      <c r="B18" s="20"/>
      <c r="C18" s="20"/>
      <c r="D18" s="20"/>
      <c r="E18" s="20"/>
      <c r="F18" s="20"/>
    </row>
    <row r="19" spans="1:11" ht="12.75" customHeight="1">
      <c r="A19" s="24" t="s">
        <v>11</v>
      </c>
      <c r="B19" s="24"/>
      <c r="C19" s="24"/>
      <c r="D19" s="24"/>
      <c r="E19" s="24"/>
      <c r="F19" s="23"/>
    </row>
    <row r="20" spans="1:11" ht="14.25" customHeight="1">
      <c r="A20" s="23" t="s">
        <v>12</v>
      </c>
      <c r="B20" s="24"/>
      <c r="C20" s="24"/>
      <c r="D20" s="24"/>
      <c r="E20" s="24"/>
      <c r="F20" s="23"/>
    </row>
    <row r="21" spans="1:11" ht="13.5" customHeight="1">
      <c r="A21" s="23" t="s">
        <v>13</v>
      </c>
      <c r="B21" s="24"/>
      <c r="C21" s="24"/>
      <c r="D21" s="24"/>
      <c r="E21" s="24"/>
      <c r="F21" s="23"/>
    </row>
    <row r="22" spans="1:11" ht="15" customHeight="1">
      <c r="A22" s="568" t="s">
        <v>14</v>
      </c>
      <c r="B22" s="568"/>
      <c r="C22" s="568"/>
      <c r="D22" s="568"/>
      <c r="E22" s="568"/>
      <c r="F22" s="568"/>
      <c r="G22" s="568"/>
      <c r="H22" s="568"/>
      <c r="I22" s="568"/>
      <c r="J22" s="568"/>
      <c r="K22" s="568"/>
    </row>
    <row r="23" spans="1:11" ht="12" customHeight="1">
      <c r="A23" s="25"/>
      <c r="B23" s="26"/>
      <c r="C23" s="26"/>
      <c r="D23" s="26"/>
      <c r="E23" s="20"/>
      <c r="F23" s="20"/>
    </row>
    <row r="24" spans="1:11" ht="10.5" customHeight="1">
      <c r="A24" s="23"/>
    </row>
    <row r="25" spans="1:11" ht="12.75" customHeight="1">
      <c r="A25" s="21"/>
      <c r="B25" s="20"/>
      <c r="C25" s="20"/>
    </row>
    <row r="26" spans="1:11" ht="11.25" customHeight="1">
      <c r="A26" s="21"/>
      <c r="B26" s="20"/>
      <c r="C26" s="20"/>
    </row>
    <row r="27" spans="1:11" ht="18" customHeight="1"/>
    <row r="28" spans="1:11" ht="18" customHeight="1">
      <c r="D28" s="18"/>
      <c r="E28" s="18"/>
    </row>
    <row r="29" spans="1:11" ht="18" customHeight="1">
      <c r="D29" s="18"/>
      <c r="E29" s="18"/>
    </row>
    <row r="30" spans="1:11" ht="18" customHeight="1">
      <c r="D30" s="18"/>
      <c r="E30" s="18"/>
    </row>
    <row r="31" spans="1:11" ht="18" customHeight="1"/>
    <row r="32" spans="1:11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</sheetData>
  <mergeCells count="7">
    <mergeCell ref="A4:E4"/>
    <mergeCell ref="A22:K22"/>
    <mergeCell ref="A17:J17"/>
    <mergeCell ref="D8:E8"/>
    <mergeCell ref="A9:A10"/>
    <mergeCell ref="B9:B10"/>
    <mergeCell ref="C9:E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4"/>
  <sheetViews>
    <sheetView showGridLines="0" zoomScaleNormal="100" workbookViewId="0">
      <selection activeCell="D101" sqref="D101"/>
    </sheetView>
  </sheetViews>
  <sheetFormatPr defaultRowHeight="20.100000000000001" customHeight="1"/>
  <cols>
    <col min="1" max="1" width="38" style="1" customWidth="1"/>
    <col min="2" max="2" width="22.83203125" style="1" customWidth="1"/>
    <col min="3" max="3" width="31.1640625" style="1" customWidth="1"/>
    <col min="4" max="4" width="27.5" style="1" customWidth="1"/>
    <col min="5" max="5" width="26.5" style="1" customWidth="1"/>
    <col min="6" max="16384" width="9.33203125" style="1"/>
  </cols>
  <sheetData>
    <row r="1" spans="1:9" ht="20.100000000000001" customHeight="1">
      <c r="D1" s="2"/>
      <c r="E1" s="1" t="s">
        <v>23</v>
      </c>
    </row>
    <row r="2" spans="1:9" ht="20.100000000000001" customHeight="1">
      <c r="A2" s="39"/>
      <c r="B2" s="39"/>
      <c r="C2" s="39"/>
      <c r="D2" s="39"/>
      <c r="E2" s="46" t="s">
        <v>30</v>
      </c>
    </row>
    <row r="3" spans="1:9" ht="9.75" customHeight="1"/>
    <row r="4" spans="1:9" ht="17.25" customHeight="1">
      <c r="A4" s="571" t="s">
        <v>31</v>
      </c>
      <c r="B4" s="571"/>
      <c r="C4" s="571"/>
      <c r="D4" s="571"/>
      <c r="E4" s="571"/>
      <c r="F4" s="3"/>
    </row>
    <row r="5" spans="1:9" ht="9" customHeight="1">
      <c r="A5" s="4"/>
    </row>
    <row r="6" spans="1:9" ht="12.75" customHeight="1">
      <c r="A6" s="2" t="s">
        <v>24</v>
      </c>
      <c r="B6" s="572"/>
      <c r="C6" s="572"/>
      <c r="D6" s="572"/>
      <c r="E6" s="572"/>
    </row>
    <row r="7" spans="1:9" ht="12.75" customHeight="1">
      <c r="A7" s="2" t="s">
        <v>25</v>
      </c>
      <c r="B7" s="5"/>
      <c r="C7" s="5"/>
      <c r="D7" s="5"/>
      <c r="E7" s="5"/>
    </row>
    <row r="8" spans="1:9" ht="13.5" customHeight="1" thickBot="1">
      <c r="A8" s="6"/>
      <c r="C8" s="7"/>
      <c r="D8" s="570" t="s">
        <v>0</v>
      </c>
      <c r="E8" s="570"/>
    </row>
    <row r="9" spans="1:9" s="2" customFormat="1" ht="22.5" customHeight="1">
      <c r="A9" s="573" t="s">
        <v>26</v>
      </c>
      <c r="B9" s="573" t="s">
        <v>2</v>
      </c>
      <c r="C9" s="575" t="s">
        <v>3</v>
      </c>
      <c r="D9" s="576"/>
      <c r="E9" s="577"/>
      <c r="F9" s="8"/>
      <c r="G9" s="8"/>
      <c r="H9" s="8"/>
      <c r="I9" s="8"/>
    </row>
    <row r="10" spans="1:9" s="2" customFormat="1" ht="33" customHeight="1" thickBot="1">
      <c r="A10" s="574"/>
      <c r="B10" s="574"/>
      <c r="C10" s="9" t="s">
        <v>15</v>
      </c>
      <c r="D10" s="10" t="s">
        <v>16</v>
      </c>
      <c r="E10" s="11">
        <v>2013</v>
      </c>
      <c r="F10" s="8"/>
      <c r="G10" s="8"/>
      <c r="H10" s="8"/>
      <c r="I10" s="8"/>
    </row>
    <row r="11" spans="1:9" s="2" customFormat="1" ht="39" customHeight="1">
      <c r="A11" s="43" t="s">
        <v>4</v>
      </c>
      <c r="B11" s="12" t="s">
        <v>27</v>
      </c>
      <c r="C11" s="27">
        <v>0</v>
      </c>
      <c r="D11" s="28">
        <v>0</v>
      </c>
      <c r="E11" s="29">
        <v>35000</v>
      </c>
      <c r="F11" s="8"/>
      <c r="G11" s="8"/>
      <c r="H11" s="8"/>
      <c r="I11" s="8"/>
    </row>
    <row r="12" spans="1:9" s="2" customFormat="1" ht="34.5" customHeight="1">
      <c r="A12" s="45" t="s">
        <v>5</v>
      </c>
      <c r="B12" s="13" t="s">
        <v>27</v>
      </c>
      <c r="C12" s="30">
        <v>0</v>
      </c>
      <c r="D12" s="31">
        <v>0</v>
      </c>
      <c r="E12" s="32">
        <v>0</v>
      </c>
      <c r="F12" s="8"/>
      <c r="G12" s="8"/>
      <c r="H12" s="8"/>
      <c r="I12" s="8"/>
    </row>
    <row r="13" spans="1:9" s="2" customFormat="1" ht="30" customHeight="1" thickBot="1">
      <c r="A13" s="44" t="s">
        <v>6</v>
      </c>
      <c r="B13" s="14" t="s">
        <v>27</v>
      </c>
      <c r="C13" s="33">
        <v>0</v>
      </c>
      <c r="D13" s="34">
        <v>0</v>
      </c>
      <c r="E13" s="35">
        <v>0</v>
      </c>
      <c r="F13" s="8"/>
      <c r="G13" s="8"/>
      <c r="H13" s="8"/>
      <c r="I13" s="8"/>
    </row>
    <row r="14" spans="1:9" s="2" customFormat="1" ht="30" customHeight="1" thickBot="1">
      <c r="A14" s="15" t="s">
        <v>7</v>
      </c>
      <c r="B14" s="16"/>
      <c r="C14" s="36">
        <v>0</v>
      </c>
      <c r="D14" s="37">
        <v>0</v>
      </c>
      <c r="E14" s="38">
        <f>SUM(E11:E13)</f>
        <v>35000</v>
      </c>
      <c r="F14" s="8"/>
      <c r="G14" s="8"/>
      <c r="H14" s="8"/>
      <c r="I14" s="8"/>
    </row>
    <row r="15" spans="1:9" s="2" customFormat="1" ht="6" customHeight="1">
      <c r="A15" s="17"/>
      <c r="B15" s="18"/>
      <c r="C15" s="18"/>
      <c r="D15" s="1"/>
      <c r="E15" s="1"/>
      <c r="F15" s="8"/>
      <c r="G15" s="8"/>
      <c r="H15" s="8"/>
      <c r="I15" s="8"/>
    </row>
    <row r="16" spans="1:9" ht="15" customHeight="1">
      <c r="A16" s="19" t="s">
        <v>8</v>
      </c>
      <c r="B16" s="20"/>
      <c r="C16" s="20"/>
      <c r="D16" s="20"/>
      <c r="E16" s="20"/>
      <c r="F16" s="21"/>
      <c r="G16" s="18"/>
      <c r="H16" s="18"/>
      <c r="I16" s="18"/>
    </row>
    <row r="17" spans="1:11" s="22" customFormat="1" ht="13.5" customHeight="1">
      <c r="A17" s="569" t="s">
        <v>9</v>
      </c>
      <c r="B17" s="569"/>
      <c r="C17" s="569"/>
      <c r="D17" s="569"/>
      <c r="E17" s="569"/>
      <c r="F17" s="569"/>
      <c r="G17" s="569"/>
      <c r="H17" s="569"/>
      <c r="I17" s="569"/>
      <c r="J17" s="569"/>
    </row>
    <row r="18" spans="1:11" ht="14.25" customHeight="1">
      <c r="A18" s="23" t="s">
        <v>10</v>
      </c>
      <c r="B18" s="20"/>
      <c r="C18" s="20"/>
      <c r="D18" s="20"/>
      <c r="E18" s="20"/>
      <c r="F18" s="20"/>
    </row>
    <row r="19" spans="1:11" ht="12.75" customHeight="1">
      <c r="A19" s="24" t="s">
        <v>11</v>
      </c>
      <c r="B19" s="24"/>
      <c r="C19" s="24"/>
      <c r="D19" s="24"/>
      <c r="E19" s="24"/>
      <c r="F19" s="23"/>
    </row>
    <row r="20" spans="1:11" ht="14.25" customHeight="1">
      <c r="A20" s="23" t="s">
        <v>12</v>
      </c>
      <c r="B20" s="24"/>
      <c r="C20" s="24"/>
      <c r="D20" s="24"/>
      <c r="E20" s="24"/>
      <c r="F20" s="23"/>
    </row>
    <row r="21" spans="1:11" ht="13.5" customHeight="1">
      <c r="A21" s="23" t="s">
        <v>13</v>
      </c>
      <c r="B21" s="24"/>
      <c r="C21" s="24"/>
      <c r="D21" s="24"/>
      <c r="E21" s="24"/>
      <c r="F21" s="23"/>
    </row>
    <row r="22" spans="1:11" ht="15" customHeight="1">
      <c r="A22" s="568" t="s">
        <v>14</v>
      </c>
      <c r="B22" s="568"/>
      <c r="C22" s="568"/>
      <c r="D22" s="568"/>
      <c r="E22" s="568"/>
      <c r="F22" s="568"/>
      <c r="G22" s="568"/>
      <c r="H22" s="568"/>
      <c r="I22" s="568"/>
      <c r="J22" s="568"/>
      <c r="K22" s="568"/>
    </row>
    <row r="23" spans="1:11" ht="12" customHeight="1">
      <c r="A23" s="25"/>
      <c r="B23" s="26"/>
      <c r="C23" s="26"/>
      <c r="D23" s="26"/>
      <c r="E23" s="20"/>
      <c r="F23" s="20"/>
    </row>
    <row r="24" spans="1:11" ht="10.5" customHeight="1">
      <c r="A24" s="23"/>
    </row>
    <row r="25" spans="1:11" ht="12.75" customHeight="1">
      <c r="A25" s="21"/>
      <c r="B25" s="20"/>
      <c r="C25" s="20"/>
    </row>
    <row r="26" spans="1:11" ht="11.25" customHeight="1">
      <c r="A26" s="21"/>
      <c r="B26" s="20"/>
      <c r="C26" s="20"/>
    </row>
    <row r="27" spans="1:11" ht="18" customHeight="1"/>
    <row r="28" spans="1:11" ht="18" customHeight="1">
      <c r="D28" s="18"/>
      <c r="E28" s="18"/>
    </row>
    <row r="29" spans="1:11" ht="18" customHeight="1">
      <c r="D29" s="18"/>
      <c r="E29" s="18"/>
    </row>
    <row r="30" spans="1:11" ht="18" customHeight="1">
      <c r="D30" s="18"/>
      <c r="E30" s="18"/>
    </row>
    <row r="31" spans="1:11" ht="18" customHeight="1"/>
    <row r="32" spans="1:11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</sheetData>
  <mergeCells count="8">
    <mergeCell ref="A4:E4"/>
    <mergeCell ref="A22:K22"/>
    <mergeCell ref="A17:J17"/>
    <mergeCell ref="D8:E8"/>
    <mergeCell ref="B6:E6"/>
    <mergeCell ref="A9:A10"/>
    <mergeCell ref="B9:B10"/>
    <mergeCell ref="C9:E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scale="90" orientation="landscape" r:id="rId1"/>
  <headerFooter alignWithMargins="0"/>
  <ignoredErrors>
    <ignoredError sqref="E1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3:Q57"/>
  <sheetViews>
    <sheetView showGridLines="0" showOutlineSymbols="0" zoomScaleNormal="100" workbookViewId="0">
      <selection activeCell="M1" sqref="M1"/>
    </sheetView>
  </sheetViews>
  <sheetFormatPr defaultColWidth="6.83203125" defaultRowHeight="12.75" customHeight="1"/>
  <cols>
    <col min="1" max="1" width="1" style="47" customWidth="1"/>
    <col min="2" max="2" width="6.33203125" style="47" customWidth="1"/>
    <col min="3" max="3" width="4.33203125" style="47" customWidth="1"/>
    <col min="4" max="4" width="13.5" style="47" customWidth="1"/>
    <col min="5" max="5" width="2.6640625" style="47" customWidth="1"/>
    <col min="6" max="6" width="1.33203125" style="47" customWidth="1"/>
    <col min="7" max="7" width="21.33203125" style="47" customWidth="1"/>
    <col min="8" max="8" width="6.83203125" style="47" customWidth="1"/>
    <col min="9" max="9" width="1.5" style="47" customWidth="1"/>
    <col min="10" max="10" width="2.5" style="47" customWidth="1"/>
    <col min="11" max="11" width="8.5" style="47" customWidth="1"/>
    <col min="12" max="12" width="1.5" style="47" customWidth="1"/>
    <col min="13" max="13" width="8.33203125" style="47" customWidth="1"/>
    <col min="14" max="14" width="1.83203125" style="47" customWidth="1"/>
    <col min="15" max="15" width="7.5" style="47" customWidth="1"/>
    <col min="16" max="16" width="1.33203125" style="47" customWidth="1"/>
    <col min="17" max="17" width="3.1640625" style="47" customWidth="1"/>
    <col min="18" max="16384" width="6.83203125" style="47"/>
  </cols>
  <sheetData>
    <row r="3" spans="1:17" ht="12.75" customHeight="1">
      <c r="M3" s="47" t="s">
        <v>151</v>
      </c>
    </row>
    <row r="4" spans="1:17" ht="15.75" customHeight="1">
      <c r="M4" s="47" t="s">
        <v>21</v>
      </c>
    </row>
    <row r="5" spans="1:17" ht="15.75" customHeight="1"/>
    <row r="6" spans="1:17" ht="15" customHeight="1">
      <c r="B6" s="584" t="s">
        <v>152</v>
      </c>
      <c r="C6" s="584"/>
      <c r="D6" s="584"/>
      <c r="E6" s="584"/>
      <c r="F6" s="584"/>
      <c r="G6" s="584"/>
      <c r="H6" s="584"/>
      <c r="I6" s="584"/>
      <c r="J6" s="584"/>
      <c r="K6" s="584"/>
      <c r="L6" s="584"/>
      <c r="M6" s="584"/>
      <c r="N6" s="584"/>
      <c r="O6" s="584"/>
      <c r="P6" s="584"/>
    </row>
    <row r="7" spans="1:17" ht="13.5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48"/>
    </row>
    <row r="8" spans="1:17" ht="15.6" customHeight="1" thickBot="1"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50" t="s">
        <v>34</v>
      </c>
      <c r="P8" s="48"/>
    </row>
    <row r="9" spans="1:17" ht="15" customHeight="1" thickBot="1">
      <c r="A9" s="48"/>
      <c r="B9" s="585" t="s">
        <v>153</v>
      </c>
      <c r="C9" s="51"/>
      <c r="D9" s="52"/>
      <c r="E9" s="52"/>
      <c r="F9" s="52"/>
      <c r="G9" s="53"/>
      <c r="H9" s="52" t="s">
        <v>154</v>
      </c>
      <c r="I9" s="52"/>
      <c r="J9" s="52"/>
      <c r="K9" s="54" t="s">
        <v>154</v>
      </c>
      <c r="L9" s="55"/>
      <c r="M9" s="592" t="s">
        <v>36</v>
      </c>
      <c r="N9" s="592"/>
      <c r="O9" s="593" t="s">
        <v>37</v>
      </c>
      <c r="P9" s="594"/>
      <c r="Q9" s="48"/>
    </row>
    <row r="10" spans="1:17" ht="26.45" customHeight="1" thickBot="1">
      <c r="A10" s="48"/>
      <c r="B10" s="586"/>
      <c r="C10" s="595" t="s">
        <v>155</v>
      </c>
      <c r="D10" s="596"/>
      <c r="E10" s="596"/>
      <c r="F10" s="596"/>
      <c r="G10" s="597"/>
      <c r="H10" s="56" t="s">
        <v>156</v>
      </c>
      <c r="I10" s="57"/>
      <c r="J10" s="58" t="s">
        <v>35</v>
      </c>
      <c r="K10" s="598" t="s">
        <v>157</v>
      </c>
      <c r="L10" s="598"/>
      <c r="M10" s="598" t="s">
        <v>38</v>
      </c>
      <c r="N10" s="598"/>
      <c r="O10" s="599" t="s">
        <v>33</v>
      </c>
      <c r="P10" s="594"/>
      <c r="Q10" s="48"/>
    </row>
    <row r="11" spans="1:17" ht="14.25" customHeight="1">
      <c r="A11" s="48"/>
      <c r="B11" s="59" t="s">
        <v>39</v>
      </c>
      <c r="C11" s="580" t="s">
        <v>40</v>
      </c>
      <c r="D11" s="580"/>
      <c r="E11" s="580"/>
      <c r="F11" s="580"/>
      <c r="G11" s="580"/>
      <c r="H11" s="581">
        <v>7546.0239431600003</v>
      </c>
      <c r="I11" s="581"/>
      <c r="J11" s="581"/>
      <c r="K11" s="581">
        <v>2715.5098025099996</v>
      </c>
      <c r="L11" s="581"/>
      <c r="M11" s="581">
        <v>-4830.5141406500006</v>
      </c>
      <c r="N11" s="581"/>
      <c r="O11" s="581">
        <v>35.985968544022974</v>
      </c>
      <c r="P11" s="581"/>
      <c r="Q11" s="48"/>
    </row>
    <row r="12" spans="1:17" ht="14.25" customHeight="1">
      <c r="A12" s="48"/>
      <c r="B12" s="60" t="s">
        <v>41</v>
      </c>
      <c r="C12" s="579" t="s">
        <v>42</v>
      </c>
      <c r="D12" s="579"/>
      <c r="E12" s="579"/>
      <c r="F12" s="579"/>
      <c r="G12" s="579"/>
      <c r="H12" s="583">
        <v>61251.660308809995</v>
      </c>
      <c r="I12" s="583"/>
      <c r="J12" s="583"/>
      <c r="K12" s="583">
        <v>31342.797587000001</v>
      </c>
      <c r="L12" s="583"/>
      <c r="M12" s="583">
        <v>-29908.862721809997</v>
      </c>
      <c r="N12" s="583"/>
      <c r="O12" s="583">
        <v>51.170527344043087</v>
      </c>
      <c r="P12" s="583"/>
      <c r="Q12" s="48"/>
    </row>
    <row r="13" spans="1:17" ht="14.25" customHeight="1">
      <c r="A13" s="48"/>
      <c r="B13" s="60" t="s">
        <v>43</v>
      </c>
      <c r="C13" s="579" t="s">
        <v>44</v>
      </c>
      <c r="D13" s="579"/>
      <c r="E13" s="579"/>
      <c r="F13" s="579"/>
      <c r="G13" s="579"/>
      <c r="H13" s="583">
        <v>15388.19272236</v>
      </c>
      <c r="I13" s="583"/>
      <c r="J13" s="583"/>
      <c r="K13" s="583">
        <v>6297.5853037199995</v>
      </c>
      <c r="L13" s="583"/>
      <c r="M13" s="583">
        <v>-9090.6074186400001</v>
      </c>
      <c r="N13" s="583"/>
      <c r="O13" s="583">
        <v>40.92478835782461</v>
      </c>
      <c r="P13" s="583"/>
      <c r="Q13" s="48"/>
    </row>
    <row r="14" spans="1:17" ht="14.25" customHeight="1">
      <c r="A14" s="48"/>
      <c r="B14" s="60" t="s">
        <v>45</v>
      </c>
      <c r="C14" s="579" t="s">
        <v>46</v>
      </c>
      <c r="D14" s="579"/>
      <c r="E14" s="579"/>
      <c r="F14" s="579"/>
      <c r="G14" s="579"/>
      <c r="H14" s="583">
        <v>7538.8576703900007</v>
      </c>
      <c r="I14" s="583"/>
      <c r="J14" s="583"/>
      <c r="K14" s="583">
        <v>2458.1188338900001</v>
      </c>
      <c r="L14" s="583"/>
      <c r="M14" s="583">
        <v>-5080.7388365000006</v>
      </c>
      <c r="N14" s="583"/>
      <c r="O14" s="583">
        <v>32.605985433902433</v>
      </c>
      <c r="P14" s="583"/>
      <c r="Q14" s="48"/>
    </row>
    <row r="15" spans="1:17" ht="14.25" customHeight="1">
      <c r="A15" s="48"/>
      <c r="B15" s="60" t="s">
        <v>47</v>
      </c>
      <c r="C15" s="579" t="s">
        <v>48</v>
      </c>
      <c r="D15" s="579"/>
      <c r="E15" s="579"/>
      <c r="F15" s="579"/>
      <c r="G15" s="579"/>
      <c r="H15" s="583">
        <v>29314.904403429999</v>
      </c>
      <c r="I15" s="583"/>
      <c r="J15" s="583"/>
      <c r="K15" s="583">
        <v>11665.833604009998</v>
      </c>
      <c r="L15" s="583"/>
      <c r="M15" s="583">
        <v>-17649.070799420002</v>
      </c>
      <c r="N15" s="583"/>
      <c r="O15" s="583">
        <v>39.794888782393699</v>
      </c>
      <c r="P15" s="583"/>
      <c r="Q15" s="48"/>
    </row>
    <row r="16" spans="1:17" ht="14.25" customHeight="1">
      <c r="A16" s="48"/>
      <c r="B16" s="60" t="s">
        <v>49</v>
      </c>
      <c r="C16" s="579" t="s">
        <v>50</v>
      </c>
      <c r="D16" s="579"/>
      <c r="E16" s="579"/>
      <c r="F16" s="579"/>
      <c r="G16" s="579"/>
      <c r="H16" s="583">
        <v>14943.946558560001</v>
      </c>
      <c r="I16" s="583"/>
      <c r="J16" s="583"/>
      <c r="K16" s="583">
        <v>9231.9173726499994</v>
      </c>
      <c r="L16" s="583"/>
      <c r="M16" s="583">
        <v>-5712.0291859099998</v>
      </c>
      <c r="N16" s="583"/>
      <c r="O16" s="583">
        <v>61.77696993544113</v>
      </c>
      <c r="P16" s="583"/>
      <c r="Q16" s="48"/>
    </row>
    <row r="17" spans="1:17" ht="14.25" customHeight="1">
      <c r="A17" s="48"/>
      <c r="B17" s="60" t="s">
        <v>51</v>
      </c>
      <c r="C17" s="579" t="s">
        <v>52</v>
      </c>
      <c r="D17" s="579"/>
      <c r="E17" s="579"/>
      <c r="F17" s="579"/>
      <c r="G17" s="579"/>
      <c r="H17" s="583">
        <v>4.3517000000000001</v>
      </c>
      <c r="I17" s="583"/>
      <c r="J17" s="583"/>
      <c r="K17" s="583">
        <v>2.6039999999999996</v>
      </c>
      <c r="L17" s="583"/>
      <c r="M17" s="583">
        <v>-1.7477000000000005</v>
      </c>
      <c r="N17" s="583"/>
      <c r="O17" s="583">
        <v>59.83868373279406</v>
      </c>
      <c r="P17" s="583"/>
      <c r="Q17" s="48"/>
    </row>
    <row r="18" spans="1:17" ht="14.25" customHeight="1">
      <c r="A18" s="48"/>
      <c r="B18" s="60" t="s">
        <v>53</v>
      </c>
      <c r="C18" s="579" t="s">
        <v>54</v>
      </c>
      <c r="D18" s="579"/>
      <c r="E18" s="579"/>
      <c r="F18" s="579"/>
      <c r="G18" s="579"/>
      <c r="H18" s="583">
        <v>173.53099999999998</v>
      </c>
      <c r="I18" s="583"/>
      <c r="J18" s="583"/>
      <c r="K18" s="583">
        <v>85.717000000000013</v>
      </c>
      <c r="L18" s="583"/>
      <c r="M18" s="583">
        <v>-87.813999999999979</v>
      </c>
      <c r="N18" s="583"/>
      <c r="O18" s="583">
        <v>49.395785191118605</v>
      </c>
      <c r="P18" s="583"/>
      <c r="Q18" s="48"/>
    </row>
    <row r="19" spans="1:17" ht="14.25" customHeight="1">
      <c r="A19" s="48"/>
      <c r="B19" s="60" t="s">
        <v>55</v>
      </c>
      <c r="C19" s="579" t="s">
        <v>56</v>
      </c>
      <c r="D19" s="579"/>
      <c r="E19" s="579"/>
      <c r="F19" s="579"/>
      <c r="G19" s="579"/>
      <c r="H19" s="583">
        <v>82.61</v>
      </c>
      <c r="I19" s="583"/>
      <c r="J19" s="583"/>
      <c r="K19" s="583">
        <v>5</v>
      </c>
      <c r="L19" s="583"/>
      <c r="M19" s="583">
        <v>-77.61</v>
      </c>
      <c r="N19" s="583"/>
      <c r="O19" s="583">
        <v>6.0525360125892753</v>
      </c>
      <c r="P19" s="583"/>
      <c r="Q19" s="48"/>
    </row>
    <row r="20" spans="1:17" ht="14.25" customHeight="1" thickBot="1">
      <c r="A20" s="48"/>
      <c r="B20" s="60" t="s">
        <v>57</v>
      </c>
      <c r="C20" s="579" t="s">
        <v>58</v>
      </c>
      <c r="D20" s="579"/>
      <c r="E20" s="579"/>
      <c r="F20" s="579"/>
      <c r="G20" s="579"/>
      <c r="H20" s="583">
        <v>1048.30561629</v>
      </c>
      <c r="I20" s="583"/>
      <c r="J20" s="583"/>
      <c r="K20" s="583">
        <v>2195.6004640000001</v>
      </c>
      <c r="L20" s="583"/>
      <c r="M20" s="583">
        <v>1147.2948477099999</v>
      </c>
      <c r="N20" s="583"/>
      <c r="O20" s="583">
        <v>209.44278365791146</v>
      </c>
      <c r="P20" s="583"/>
      <c r="Q20" s="48"/>
    </row>
    <row r="21" spans="1:17" ht="14.25" customHeight="1" thickBot="1">
      <c r="A21" s="48"/>
      <c r="B21" s="61" t="s">
        <v>59</v>
      </c>
      <c r="C21" s="587" t="s">
        <v>158</v>
      </c>
      <c r="D21" s="587"/>
      <c r="E21" s="587"/>
      <c r="F21" s="587"/>
      <c r="G21" s="587"/>
      <c r="H21" s="578">
        <v>137292.38392300002</v>
      </c>
      <c r="I21" s="578"/>
      <c r="J21" s="578"/>
      <c r="K21" s="578">
        <v>66000.683967780002</v>
      </c>
      <c r="L21" s="578"/>
      <c r="M21" s="578">
        <v>-71291.699955220014</v>
      </c>
      <c r="N21" s="578"/>
      <c r="O21" s="578">
        <v>48.073084669282359</v>
      </c>
      <c r="P21" s="578"/>
      <c r="Q21" s="48"/>
    </row>
    <row r="22" spans="1:17" ht="14.25" customHeight="1" thickBot="1">
      <c r="A22" s="48"/>
      <c r="B22" s="60" t="s">
        <v>60</v>
      </c>
      <c r="C22" s="579" t="s">
        <v>61</v>
      </c>
      <c r="D22" s="579"/>
      <c r="E22" s="579"/>
      <c r="F22" s="579"/>
      <c r="G22" s="579"/>
      <c r="H22" s="583">
        <v>0.95</v>
      </c>
      <c r="I22" s="583"/>
      <c r="J22" s="583"/>
      <c r="K22" s="583">
        <v>0</v>
      </c>
      <c r="L22" s="583"/>
      <c r="M22" s="583">
        <v>-0.95</v>
      </c>
      <c r="N22" s="583"/>
      <c r="O22" s="583">
        <v>0</v>
      </c>
      <c r="P22" s="583"/>
      <c r="Q22" s="48"/>
    </row>
    <row r="23" spans="1:17" ht="14.25" customHeight="1" thickBot="1">
      <c r="A23" s="48"/>
      <c r="B23" s="61" t="s">
        <v>62</v>
      </c>
      <c r="C23" s="587" t="s">
        <v>63</v>
      </c>
      <c r="D23" s="587"/>
      <c r="E23" s="587"/>
      <c r="F23" s="587"/>
      <c r="G23" s="587"/>
      <c r="H23" s="578">
        <v>35975.016344209995</v>
      </c>
      <c r="I23" s="578"/>
      <c r="J23" s="578"/>
      <c r="K23" s="578">
        <v>32049.364003579998</v>
      </c>
      <c r="L23" s="578"/>
      <c r="M23" s="578">
        <v>-3925.6523406299993</v>
      </c>
      <c r="N23" s="578"/>
      <c r="O23" s="578">
        <v>89.087837228288535</v>
      </c>
      <c r="P23" s="578"/>
      <c r="Q23" s="48"/>
    </row>
    <row r="24" spans="1:17" ht="14.25" customHeight="1">
      <c r="A24" s="48"/>
      <c r="B24" s="62" t="s">
        <v>159</v>
      </c>
      <c r="C24" s="590" t="s">
        <v>160</v>
      </c>
      <c r="D24" s="590"/>
      <c r="E24" s="590"/>
      <c r="F24" s="590"/>
      <c r="G24" s="590"/>
      <c r="H24" s="591">
        <v>46716.06124024</v>
      </c>
      <c r="I24" s="591"/>
      <c r="J24" s="591"/>
      <c r="K24" s="591">
        <v>1241.2711178</v>
      </c>
      <c r="L24" s="591"/>
      <c r="M24" s="591">
        <v>-45474.790122439998</v>
      </c>
      <c r="N24" s="591"/>
      <c r="O24" s="591">
        <v>2.6570543081889819</v>
      </c>
      <c r="P24" s="591"/>
      <c r="Q24" s="48"/>
    </row>
    <row r="25" spans="1:17" ht="14.25" customHeight="1">
      <c r="A25" s="48"/>
      <c r="B25" s="60" t="s">
        <v>64</v>
      </c>
      <c r="C25" s="579" t="s">
        <v>65</v>
      </c>
      <c r="D25" s="579"/>
      <c r="E25" s="579"/>
      <c r="F25" s="579"/>
      <c r="G25" s="579"/>
      <c r="H25" s="583">
        <v>53.458760099999999</v>
      </c>
      <c r="I25" s="583"/>
      <c r="J25" s="583"/>
      <c r="K25" s="583">
        <v>0</v>
      </c>
      <c r="L25" s="583"/>
      <c r="M25" s="583">
        <v>-53.458760099999999</v>
      </c>
      <c r="N25" s="583"/>
      <c r="O25" s="583">
        <v>0</v>
      </c>
      <c r="P25" s="583"/>
      <c r="Q25" s="48"/>
    </row>
    <row r="26" spans="1:17" ht="14.25" customHeight="1">
      <c r="A26" s="48"/>
      <c r="B26" s="60" t="s">
        <v>66</v>
      </c>
      <c r="C26" s="579" t="s">
        <v>67</v>
      </c>
      <c r="D26" s="579"/>
      <c r="E26" s="579"/>
      <c r="F26" s="579"/>
      <c r="G26" s="579"/>
      <c r="H26" s="583">
        <v>2055.3905529099998</v>
      </c>
      <c r="I26" s="583"/>
      <c r="J26" s="583"/>
      <c r="K26" s="583">
        <v>2227.85346828</v>
      </c>
      <c r="L26" s="583"/>
      <c r="M26" s="583">
        <v>172.46291537000013</v>
      </c>
      <c r="N26" s="583"/>
      <c r="O26" s="583">
        <v>108.39076131423437</v>
      </c>
      <c r="P26" s="583"/>
      <c r="Q26" s="48"/>
    </row>
    <row r="27" spans="1:17" ht="14.25" customHeight="1">
      <c r="A27" s="48"/>
      <c r="B27" s="60" t="s">
        <v>68</v>
      </c>
      <c r="C27" s="579" t="s">
        <v>69</v>
      </c>
      <c r="D27" s="579"/>
      <c r="E27" s="579"/>
      <c r="F27" s="579"/>
      <c r="G27" s="579"/>
      <c r="H27" s="583">
        <v>33.370504000000004</v>
      </c>
      <c r="I27" s="583"/>
      <c r="J27" s="583"/>
      <c r="K27" s="583">
        <v>0</v>
      </c>
      <c r="L27" s="583"/>
      <c r="M27" s="583">
        <v>-33.370504000000004</v>
      </c>
      <c r="N27" s="583"/>
      <c r="O27" s="583">
        <v>0</v>
      </c>
      <c r="P27" s="583"/>
      <c r="Q27" s="48"/>
    </row>
    <row r="28" spans="1:17" ht="14.25" customHeight="1">
      <c r="A28" s="48"/>
      <c r="B28" s="60" t="s">
        <v>70</v>
      </c>
      <c r="C28" s="579" t="s">
        <v>71</v>
      </c>
      <c r="D28" s="579"/>
      <c r="E28" s="579"/>
      <c r="F28" s="579"/>
      <c r="G28" s="579"/>
      <c r="H28" s="583">
        <v>23059.891939180001</v>
      </c>
      <c r="I28" s="583"/>
      <c r="J28" s="583"/>
      <c r="K28" s="583">
        <v>12396.256758809999</v>
      </c>
      <c r="L28" s="583"/>
      <c r="M28" s="583">
        <v>-10663.63518037</v>
      </c>
      <c r="N28" s="583"/>
      <c r="O28" s="583">
        <v>53.756785988004097</v>
      </c>
      <c r="P28" s="583"/>
      <c r="Q28" s="48"/>
    </row>
    <row r="29" spans="1:17" ht="14.25" customHeight="1">
      <c r="A29" s="48"/>
      <c r="B29" s="60" t="s">
        <v>72</v>
      </c>
      <c r="C29" s="579" t="s">
        <v>73</v>
      </c>
      <c r="D29" s="579"/>
      <c r="E29" s="579"/>
      <c r="F29" s="579"/>
      <c r="G29" s="579"/>
      <c r="H29" s="583">
        <v>14442.73714829</v>
      </c>
      <c r="I29" s="583"/>
      <c r="J29" s="583"/>
      <c r="K29" s="583">
        <v>4997.8053313300006</v>
      </c>
      <c r="L29" s="583"/>
      <c r="M29" s="583">
        <v>-9444.9318169599992</v>
      </c>
      <c r="N29" s="583"/>
      <c r="O29" s="583">
        <v>34.604280892294248</v>
      </c>
      <c r="P29" s="583"/>
      <c r="Q29" s="48"/>
    </row>
    <row r="30" spans="1:17" ht="14.25" customHeight="1">
      <c r="A30" s="48"/>
      <c r="B30" s="60" t="s">
        <v>74</v>
      </c>
      <c r="C30" s="579" t="s">
        <v>75</v>
      </c>
      <c r="D30" s="579"/>
      <c r="E30" s="579"/>
      <c r="F30" s="579"/>
      <c r="G30" s="579"/>
      <c r="H30" s="583">
        <v>304.53255910000001</v>
      </c>
      <c r="I30" s="583"/>
      <c r="J30" s="583"/>
      <c r="K30" s="583">
        <v>228.04458006000002</v>
      </c>
      <c r="L30" s="583"/>
      <c r="M30" s="583">
        <v>-76.487979039999985</v>
      </c>
      <c r="N30" s="583"/>
      <c r="O30" s="583">
        <v>74.883480680670516</v>
      </c>
      <c r="P30" s="583"/>
      <c r="Q30" s="48"/>
    </row>
    <row r="31" spans="1:17" ht="14.25" customHeight="1">
      <c r="A31" s="48"/>
      <c r="B31" s="60" t="s">
        <v>76</v>
      </c>
      <c r="C31" s="579" t="s">
        <v>77</v>
      </c>
      <c r="D31" s="579"/>
      <c r="E31" s="579"/>
      <c r="F31" s="579"/>
      <c r="G31" s="579"/>
      <c r="H31" s="583">
        <v>3847.2055593799996</v>
      </c>
      <c r="I31" s="583"/>
      <c r="J31" s="583"/>
      <c r="K31" s="583">
        <v>2500.3716549999999</v>
      </c>
      <c r="L31" s="583"/>
      <c r="M31" s="583">
        <v>-1346.8339043799997</v>
      </c>
      <c r="N31" s="583"/>
      <c r="O31" s="583">
        <v>64.991891293766741</v>
      </c>
      <c r="P31" s="583"/>
      <c r="Q31" s="48"/>
    </row>
    <row r="32" spans="1:17" ht="14.25" customHeight="1">
      <c r="A32" s="48"/>
      <c r="B32" s="60" t="s">
        <v>78</v>
      </c>
      <c r="C32" s="579" t="s">
        <v>79</v>
      </c>
      <c r="D32" s="579"/>
      <c r="E32" s="579"/>
      <c r="F32" s="579"/>
      <c r="G32" s="579"/>
      <c r="H32" s="583">
        <v>8588.1402249999992</v>
      </c>
      <c r="I32" s="583"/>
      <c r="J32" s="583"/>
      <c r="K32" s="583">
        <v>8555.3437235700003</v>
      </c>
      <c r="L32" s="583"/>
      <c r="M32" s="583">
        <v>-32.796501429999481</v>
      </c>
      <c r="N32" s="583"/>
      <c r="O32" s="583">
        <v>99.618118701246516</v>
      </c>
      <c r="P32" s="583"/>
      <c r="Q32" s="48"/>
    </row>
    <row r="33" spans="1:17" ht="14.25" customHeight="1">
      <c r="A33" s="48"/>
      <c r="B33" s="60" t="s">
        <v>80</v>
      </c>
      <c r="C33" s="579" t="s">
        <v>81</v>
      </c>
      <c r="D33" s="579"/>
      <c r="E33" s="579"/>
      <c r="F33" s="579"/>
      <c r="G33" s="579"/>
      <c r="H33" s="583">
        <v>963.76250736999998</v>
      </c>
      <c r="I33" s="583"/>
      <c r="J33" s="583"/>
      <c r="K33" s="583">
        <v>1592.41479035</v>
      </c>
      <c r="L33" s="583"/>
      <c r="M33" s="583">
        <v>628.65228298</v>
      </c>
      <c r="N33" s="583"/>
      <c r="O33" s="583">
        <v>165.22896234006049</v>
      </c>
      <c r="P33" s="583"/>
      <c r="Q33" s="48"/>
    </row>
    <row r="34" spans="1:17" ht="14.25" customHeight="1">
      <c r="A34" s="48"/>
      <c r="B34" s="60" t="s">
        <v>82</v>
      </c>
      <c r="C34" s="579" t="s">
        <v>83</v>
      </c>
      <c r="D34" s="579"/>
      <c r="E34" s="579"/>
      <c r="F34" s="579"/>
      <c r="G34" s="579"/>
      <c r="H34" s="583">
        <v>44.092708000000002</v>
      </c>
      <c r="I34" s="583"/>
      <c r="J34" s="583"/>
      <c r="K34" s="583">
        <v>0</v>
      </c>
      <c r="L34" s="583"/>
      <c r="M34" s="583">
        <v>-44.092708000000002</v>
      </c>
      <c r="N34" s="583"/>
      <c r="O34" s="583">
        <v>0</v>
      </c>
      <c r="P34" s="583"/>
      <c r="Q34" s="48"/>
    </row>
    <row r="35" spans="1:17" ht="14.25" customHeight="1">
      <c r="A35" s="48"/>
      <c r="B35" s="60" t="s">
        <v>84</v>
      </c>
      <c r="C35" s="579" t="s">
        <v>85</v>
      </c>
      <c r="D35" s="579"/>
      <c r="E35" s="579"/>
      <c r="F35" s="579"/>
      <c r="G35" s="579"/>
      <c r="H35" s="583">
        <v>203.62836836999998</v>
      </c>
      <c r="I35" s="583"/>
      <c r="J35" s="583"/>
      <c r="K35" s="583">
        <v>0</v>
      </c>
      <c r="L35" s="583"/>
      <c r="M35" s="583">
        <v>-203.62836836999998</v>
      </c>
      <c r="N35" s="583"/>
      <c r="O35" s="583">
        <v>0</v>
      </c>
      <c r="P35" s="583"/>
      <c r="Q35" s="48"/>
    </row>
    <row r="36" spans="1:17" ht="14.25" customHeight="1" thickBot="1">
      <c r="A36" s="48"/>
      <c r="B36" s="60" t="s">
        <v>86</v>
      </c>
      <c r="C36" s="579" t="s">
        <v>87</v>
      </c>
      <c r="D36" s="579"/>
      <c r="E36" s="579"/>
      <c r="F36" s="579"/>
      <c r="G36" s="579"/>
      <c r="H36" s="583">
        <v>547.59880499999997</v>
      </c>
      <c r="I36" s="583"/>
      <c r="J36" s="583"/>
      <c r="K36" s="583">
        <v>211.95853899999997</v>
      </c>
      <c r="L36" s="583"/>
      <c r="M36" s="583">
        <v>-335.640266</v>
      </c>
      <c r="N36" s="583"/>
      <c r="O36" s="583">
        <v>38.706903131390135</v>
      </c>
      <c r="P36" s="583"/>
      <c r="Q36" s="48"/>
    </row>
    <row r="37" spans="1:17" ht="14.25" customHeight="1" thickBot="1">
      <c r="A37" s="48"/>
      <c r="B37" s="61" t="s">
        <v>88</v>
      </c>
      <c r="C37" s="587" t="s">
        <v>161</v>
      </c>
      <c r="D37" s="587"/>
      <c r="E37" s="587"/>
      <c r="F37" s="587"/>
      <c r="G37" s="587"/>
      <c r="H37" s="578">
        <v>136835.83722115</v>
      </c>
      <c r="I37" s="578"/>
      <c r="J37" s="578"/>
      <c r="K37" s="578">
        <v>66000.683967780002</v>
      </c>
      <c r="L37" s="578"/>
      <c r="M37" s="578">
        <v>-70835.153253370008</v>
      </c>
      <c r="N37" s="578"/>
      <c r="O37" s="578">
        <v>48.233478384110484</v>
      </c>
      <c r="P37" s="578"/>
      <c r="Q37" s="48"/>
    </row>
    <row r="38" spans="1:17" ht="14.25" customHeight="1" thickBot="1">
      <c r="A38" s="48"/>
      <c r="B38" s="63"/>
      <c r="C38" s="579" t="s">
        <v>89</v>
      </c>
      <c r="D38" s="579"/>
      <c r="E38" s="579"/>
      <c r="F38" s="579"/>
      <c r="G38" s="579"/>
      <c r="H38" s="64"/>
      <c r="I38" s="65"/>
      <c r="J38" s="65"/>
      <c r="K38" s="66"/>
      <c r="L38" s="65"/>
      <c r="M38" s="66"/>
      <c r="N38" s="65"/>
      <c r="O38" s="66"/>
      <c r="P38" s="67"/>
      <c r="Q38" s="48"/>
    </row>
    <row r="39" spans="1:17" ht="14.25" customHeight="1">
      <c r="A39" s="48"/>
      <c r="B39" s="59" t="s">
        <v>162</v>
      </c>
      <c r="C39" s="580" t="s">
        <v>90</v>
      </c>
      <c r="D39" s="580"/>
      <c r="E39" s="580"/>
      <c r="F39" s="580"/>
      <c r="G39" s="580"/>
      <c r="H39" s="581">
        <v>19791.101983320001</v>
      </c>
      <c r="I39" s="581"/>
      <c r="J39" s="581"/>
      <c r="K39" s="581">
        <v>17411.507361699998</v>
      </c>
      <c r="L39" s="581"/>
      <c r="M39" s="581">
        <v>-2379.5946216200014</v>
      </c>
      <c r="N39" s="581"/>
      <c r="O39" s="581">
        <v>87.976442021138936</v>
      </c>
      <c r="P39" s="581"/>
      <c r="Q39" s="48"/>
    </row>
    <row r="40" spans="1:17" ht="14.25" customHeight="1">
      <c r="A40" s="48"/>
      <c r="B40" s="60" t="s">
        <v>163</v>
      </c>
      <c r="C40" s="579" t="s">
        <v>91</v>
      </c>
      <c r="D40" s="579"/>
      <c r="E40" s="579"/>
      <c r="F40" s="579"/>
      <c r="G40" s="579"/>
      <c r="H40" s="583">
        <v>5998.4774539199998</v>
      </c>
      <c r="I40" s="583"/>
      <c r="J40" s="583"/>
      <c r="K40" s="583">
        <v>4136.45021524</v>
      </c>
      <c r="L40" s="583"/>
      <c r="M40" s="583">
        <v>-1862.0272386799998</v>
      </c>
      <c r="N40" s="583"/>
      <c r="O40" s="583">
        <v>68.958335627932286</v>
      </c>
      <c r="P40" s="583"/>
      <c r="Q40" s="48"/>
    </row>
    <row r="41" spans="1:17" ht="14.25" customHeight="1">
      <c r="A41" s="48"/>
      <c r="B41" s="60" t="s">
        <v>164</v>
      </c>
      <c r="C41" s="579" t="s">
        <v>92</v>
      </c>
      <c r="D41" s="579"/>
      <c r="E41" s="579"/>
      <c r="F41" s="579"/>
      <c r="G41" s="579"/>
      <c r="H41" s="583">
        <v>8388.2769069700007</v>
      </c>
      <c r="I41" s="583"/>
      <c r="J41" s="583"/>
      <c r="K41" s="583">
        <v>10054.14942664</v>
      </c>
      <c r="L41" s="583"/>
      <c r="M41" s="583">
        <v>1665.8725196699995</v>
      </c>
      <c r="N41" s="583"/>
      <c r="O41" s="583">
        <v>119.85953179830999</v>
      </c>
      <c r="P41" s="583"/>
      <c r="Q41" s="48"/>
    </row>
    <row r="42" spans="1:17" ht="16.5" customHeight="1" thickBot="1">
      <c r="A42" s="48"/>
      <c r="B42" s="68" t="s">
        <v>165</v>
      </c>
      <c r="C42" s="589" t="s">
        <v>149</v>
      </c>
      <c r="D42" s="589"/>
      <c r="E42" s="589"/>
      <c r="F42" s="589"/>
      <c r="G42" s="589"/>
      <c r="H42" s="582">
        <v>381.85500000000002</v>
      </c>
      <c r="I42" s="582"/>
      <c r="J42" s="582"/>
      <c r="K42" s="582">
        <v>446.14400000000001</v>
      </c>
      <c r="L42" s="582"/>
      <c r="M42" s="582">
        <v>64.289000000000016</v>
      </c>
      <c r="N42" s="582"/>
      <c r="O42" s="582">
        <v>116.83597176938891</v>
      </c>
      <c r="P42" s="582"/>
      <c r="Q42" s="48"/>
    </row>
    <row r="43" spans="1:17" ht="15.75" customHeight="1">
      <c r="B43" s="48"/>
      <c r="C43" s="588" t="s">
        <v>166</v>
      </c>
      <c r="D43" s="588"/>
      <c r="E43" s="588"/>
      <c r="F43" s="588"/>
      <c r="G43" s="588"/>
      <c r="H43" s="48"/>
      <c r="I43" s="48"/>
      <c r="J43" s="48"/>
      <c r="K43" s="48"/>
      <c r="L43" s="48"/>
      <c r="M43" s="48"/>
      <c r="N43" s="48"/>
      <c r="O43" s="48"/>
      <c r="P43" s="48"/>
    </row>
    <row r="44" spans="1:17" ht="3.75" customHeight="1"/>
    <row r="45" spans="1:17" ht="3.75" customHeight="1"/>
    <row r="46" spans="1:17" ht="3.75" customHeight="1"/>
    <row r="47" spans="1:17" ht="15" customHeight="1"/>
    <row r="48" spans="1:17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</sheetData>
  <mergeCells count="165">
    <mergeCell ref="C11:G11"/>
    <mergeCell ref="H11:J11"/>
    <mergeCell ref="K11:L11"/>
    <mergeCell ref="M11:N11"/>
    <mergeCell ref="M9:N9"/>
    <mergeCell ref="O9:P9"/>
    <mergeCell ref="C10:G10"/>
    <mergeCell ref="K10:L10"/>
    <mergeCell ref="M10:N10"/>
    <mergeCell ref="O10:P10"/>
    <mergeCell ref="C13:G13"/>
    <mergeCell ref="H13:J13"/>
    <mergeCell ref="K13:L13"/>
    <mergeCell ref="M13:N13"/>
    <mergeCell ref="O11:P11"/>
    <mergeCell ref="C12:G12"/>
    <mergeCell ref="H12:J12"/>
    <mergeCell ref="K12:L12"/>
    <mergeCell ref="M12:N12"/>
    <mergeCell ref="O12:P12"/>
    <mergeCell ref="C15:G15"/>
    <mergeCell ref="H15:J15"/>
    <mergeCell ref="K15:L15"/>
    <mergeCell ref="M15:N15"/>
    <mergeCell ref="O13:P13"/>
    <mergeCell ref="C14:G14"/>
    <mergeCell ref="H14:J14"/>
    <mergeCell ref="K14:L14"/>
    <mergeCell ref="M14:N14"/>
    <mergeCell ref="O14:P14"/>
    <mergeCell ref="C17:G17"/>
    <mergeCell ref="H17:J17"/>
    <mergeCell ref="K17:L17"/>
    <mergeCell ref="M17:N17"/>
    <mergeCell ref="O15:P15"/>
    <mergeCell ref="C16:G16"/>
    <mergeCell ref="H16:J16"/>
    <mergeCell ref="K16:L16"/>
    <mergeCell ref="M16:N16"/>
    <mergeCell ref="O16:P16"/>
    <mergeCell ref="C19:G19"/>
    <mergeCell ref="H19:J19"/>
    <mergeCell ref="K19:L19"/>
    <mergeCell ref="M19:N19"/>
    <mergeCell ref="O17:P17"/>
    <mergeCell ref="C18:G18"/>
    <mergeCell ref="H18:J18"/>
    <mergeCell ref="K18:L18"/>
    <mergeCell ref="M18:N18"/>
    <mergeCell ref="O18:P18"/>
    <mergeCell ref="C21:G21"/>
    <mergeCell ref="H21:J21"/>
    <mergeCell ref="K21:L21"/>
    <mergeCell ref="M21:N21"/>
    <mergeCell ref="O19:P19"/>
    <mergeCell ref="C20:G20"/>
    <mergeCell ref="H20:J20"/>
    <mergeCell ref="K20:L20"/>
    <mergeCell ref="M20:N20"/>
    <mergeCell ref="O20:P20"/>
    <mergeCell ref="C23:G23"/>
    <mergeCell ref="H23:J23"/>
    <mergeCell ref="K23:L23"/>
    <mergeCell ref="M23:N23"/>
    <mergeCell ref="O21:P21"/>
    <mergeCell ref="C22:G22"/>
    <mergeCell ref="H22:J22"/>
    <mergeCell ref="K22:L22"/>
    <mergeCell ref="M22:N22"/>
    <mergeCell ref="O22:P22"/>
    <mergeCell ref="C25:G25"/>
    <mergeCell ref="H25:J25"/>
    <mergeCell ref="K25:L25"/>
    <mergeCell ref="M25:N25"/>
    <mergeCell ref="O23:P23"/>
    <mergeCell ref="C24:G24"/>
    <mergeCell ref="H24:J24"/>
    <mergeCell ref="K24:L24"/>
    <mergeCell ref="M24:N24"/>
    <mergeCell ref="O24:P24"/>
    <mergeCell ref="C27:G27"/>
    <mergeCell ref="H27:J27"/>
    <mergeCell ref="K27:L27"/>
    <mergeCell ref="M27:N27"/>
    <mergeCell ref="O25:P25"/>
    <mergeCell ref="C26:G26"/>
    <mergeCell ref="H26:J26"/>
    <mergeCell ref="K26:L26"/>
    <mergeCell ref="M26:N26"/>
    <mergeCell ref="O26:P26"/>
    <mergeCell ref="C29:G29"/>
    <mergeCell ref="H29:J29"/>
    <mergeCell ref="K29:L29"/>
    <mergeCell ref="M29:N29"/>
    <mergeCell ref="O27:P27"/>
    <mergeCell ref="C28:G28"/>
    <mergeCell ref="H28:J28"/>
    <mergeCell ref="K28:L28"/>
    <mergeCell ref="M28:N28"/>
    <mergeCell ref="O28:P28"/>
    <mergeCell ref="C36:G36"/>
    <mergeCell ref="H36:J36"/>
    <mergeCell ref="K36:L36"/>
    <mergeCell ref="M36:N36"/>
    <mergeCell ref="O29:P29"/>
    <mergeCell ref="C30:G30"/>
    <mergeCell ref="H30:J30"/>
    <mergeCell ref="K30:L30"/>
    <mergeCell ref="M30:N30"/>
    <mergeCell ref="O30:P30"/>
    <mergeCell ref="C35:G35"/>
    <mergeCell ref="H35:J35"/>
    <mergeCell ref="O31:P31"/>
    <mergeCell ref="C32:G32"/>
    <mergeCell ref="H32:J32"/>
    <mergeCell ref="K32:L32"/>
    <mergeCell ref="M32:N32"/>
    <mergeCell ref="O32:P32"/>
    <mergeCell ref="C31:G31"/>
    <mergeCell ref="K34:L34"/>
    <mergeCell ref="H31:J31"/>
    <mergeCell ref="K31:L31"/>
    <mergeCell ref="M31:N31"/>
    <mergeCell ref="M34:N34"/>
    <mergeCell ref="O36:P36"/>
    <mergeCell ref="C41:G41"/>
    <mergeCell ref="H41:J41"/>
    <mergeCell ref="O34:P34"/>
    <mergeCell ref="C33:G33"/>
    <mergeCell ref="H33:J33"/>
    <mergeCell ref="K33:L33"/>
    <mergeCell ref="M33:N33"/>
    <mergeCell ref="O33:P33"/>
    <mergeCell ref="C34:G34"/>
    <mergeCell ref="H34:J34"/>
    <mergeCell ref="K37:L37"/>
    <mergeCell ref="M37:N37"/>
    <mergeCell ref="K35:L35"/>
    <mergeCell ref="M35:N35"/>
    <mergeCell ref="O35:P35"/>
    <mergeCell ref="C43:G43"/>
    <mergeCell ref="C42:G42"/>
    <mergeCell ref="H42:J42"/>
    <mergeCell ref="K42:L42"/>
    <mergeCell ref="O41:P41"/>
    <mergeCell ref="K40:L40"/>
    <mergeCell ref="M40:N40"/>
    <mergeCell ref="K41:L41"/>
    <mergeCell ref="M41:N41"/>
    <mergeCell ref="B6:P6"/>
    <mergeCell ref="B9:B10"/>
    <mergeCell ref="M39:N39"/>
    <mergeCell ref="O39:P39"/>
    <mergeCell ref="C37:G37"/>
    <mergeCell ref="H37:J37"/>
    <mergeCell ref="O37:P37"/>
    <mergeCell ref="C38:G38"/>
    <mergeCell ref="C39:G39"/>
    <mergeCell ref="H39:J39"/>
    <mergeCell ref="K39:L39"/>
    <mergeCell ref="O42:P42"/>
    <mergeCell ref="M42:N42"/>
    <mergeCell ref="O40:P40"/>
    <mergeCell ref="C40:G40"/>
    <mergeCell ref="H40:J40"/>
  </mergeCells>
  <phoneticPr fontId="13" type="noConversion"/>
  <printOptions horizontalCentered="1"/>
  <pageMargins left="0.39370078740157483" right="0" top="0.19685039370078741" bottom="0" header="0" footer="0"/>
  <pageSetup paperSize="9" fitToWidth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Q55"/>
  <sheetViews>
    <sheetView showGridLines="0" showOutlineSymbols="0" topLeftCell="A16" workbookViewId="0">
      <selection activeCell="U17" sqref="U17"/>
    </sheetView>
  </sheetViews>
  <sheetFormatPr defaultColWidth="6.83203125" defaultRowHeight="12.75" customHeight="1"/>
  <cols>
    <col min="1" max="1" width="1" style="69" customWidth="1"/>
    <col min="2" max="2" width="6.33203125" style="69" customWidth="1"/>
    <col min="3" max="3" width="4.33203125" style="69" customWidth="1"/>
    <col min="4" max="4" width="13.5" style="69" customWidth="1"/>
    <col min="5" max="5" width="2.6640625" style="69" customWidth="1"/>
    <col min="6" max="6" width="1.33203125" style="69" customWidth="1"/>
    <col min="7" max="7" width="21.33203125" style="69" customWidth="1"/>
    <col min="8" max="8" width="6.83203125" style="69" customWidth="1"/>
    <col min="9" max="9" width="1.5" style="69" customWidth="1"/>
    <col min="10" max="10" width="2.5" style="69" customWidth="1"/>
    <col min="11" max="11" width="8.5" style="69" customWidth="1"/>
    <col min="12" max="12" width="1.5" style="69" customWidth="1"/>
    <col min="13" max="13" width="8.33203125" style="69" customWidth="1"/>
    <col min="14" max="14" width="1.83203125" style="69" customWidth="1"/>
    <col min="15" max="15" width="7.5" style="69" customWidth="1"/>
    <col min="16" max="16" width="1.33203125" style="69" customWidth="1"/>
    <col min="17" max="17" width="3.1640625" style="69" customWidth="1"/>
    <col min="18" max="16384" width="6.83203125" style="69"/>
  </cols>
  <sheetData>
    <row r="1" spans="1:17" ht="15" customHeight="1"/>
    <row r="2" spans="1:17" ht="15" customHeight="1">
      <c r="M2" s="69" t="s">
        <v>151</v>
      </c>
    </row>
    <row r="3" spans="1:17" ht="15" customHeight="1">
      <c r="M3" s="69" t="s">
        <v>22</v>
      </c>
    </row>
    <row r="4" spans="1:17" ht="15" customHeight="1"/>
    <row r="5" spans="1:17" ht="15" customHeight="1">
      <c r="B5" s="604" t="s">
        <v>167</v>
      </c>
      <c r="C5" s="604"/>
      <c r="D5" s="604"/>
      <c r="E5" s="604"/>
      <c r="F5" s="604"/>
      <c r="G5" s="604"/>
      <c r="H5" s="604"/>
      <c r="I5" s="604"/>
      <c r="J5" s="604"/>
      <c r="K5" s="604"/>
      <c r="L5" s="604"/>
      <c r="M5" s="604"/>
      <c r="N5" s="604"/>
      <c r="O5" s="604"/>
      <c r="P5" s="70"/>
    </row>
    <row r="6" spans="1:17" ht="5.25" customHeight="1">
      <c r="G6" s="70"/>
      <c r="H6" s="70"/>
      <c r="I6" s="70"/>
      <c r="J6" s="70"/>
      <c r="K6" s="70"/>
      <c r="L6" s="70"/>
      <c r="M6" s="70"/>
      <c r="N6" s="70"/>
      <c r="O6" s="70"/>
      <c r="P6" s="70"/>
    </row>
    <row r="7" spans="1:17">
      <c r="O7" s="71"/>
    </row>
    <row r="8" spans="1:17" ht="16.899999999999999" customHeight="1" thickBot="1"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2" t="s">
        <v>34</v>
      </c>
      <c r="P8" s="70"/>
    </row>
    <row r="9" spans="1:17" ht="15" customHeight="1" thickBot="1">
      <c r="A9" s="70"/>
      <c r="B9" s="73"/>
      <c r="C9" s="74"/>
      <c r="D9" s="75"/>
      <c r="E9" s="75"/>
      <c r="F9" s="75"/>
      <c r="G9" s="76"/>
      <c r="H9" s="74" t="s">
        <v>154</v>
      </c>
      <c r="I9" s="75"/>
      <c r="J9" s="76"/>
      <c r="K9" s="74" t="s">
        <v>154</v>
      </c>
      <c r="L9" s="76"/>
      <c r="M9" s="605" t="s">
        <v>36</v>
      </c>
      <c r="N9" s="605"/>
      <c r="O9" s="605" t="s">
        <v>37</v>
      </c>
      <c r="P9" s="605"/>
      <c r="Q9" s="70"/>
    </row>
    <row r="10" spans="1:17" ht="15" customHeight="1" thickBot="1">
      <c r="A10" s="70"/>
      <c r="B10" s="77" t="s">
        <v>153</v>
      </c>
      <c r="C10" s="606" t="s">
        <v>155</v>
      </c>
      <c r="D10" s="606"/>
      <c r="E10" s="606"/>
      <c r="F10" s="606"/>
      <c r="G10" s="606"/>
      <c r="H10" s="78" t="s">
        <v>156</v>
      </c>
      <c r="I10" s="79"/>
      <c r="J10" s="80" t="s">
        <v>35</v>
      </c>
      <c r="K10" s="607" t="s">
        <v>157</v>
      </c>
      <c r="L10" s="607"/>
      <c r="M10" s="607" t="s">
        <v>38</v>
      </c>
      <c r="N10" s="607"/>
      <c r="O10" s="607" t="s">
        <v>33</v>
      </c>
      <c r="P10" s="607"/>
      <c r="Q10" s="70"/>
    </row>
    <row r="11" spans="1:17" ht="14.25" customHeight="1">
      <c r="A11" s="70"/>
      <c r="B11" s="81" t="s">
        <v>93</v>
      </c>
      <c r="C11" s="601" t="s">
        <v>40</v>
      </c>
      <c r="D11" s="601"/>
      <c r="E11" s="601"/>
      <c r="F11" s="601"/>
      <c r="G11" s="601"/>
      <c r="H11" s="602">
        <v>877.4162057499999</v>
      </c>
      <c r="I11" s="602"/>
      <c r="J11" s="602"/>
      <c r="K11" s="602">
        <v>798.59154221999995</v>
      </c>
      <c r="L11" s="602"/>
      <c r="M11" s="602">
        <v>-78.824663529999967</v>
      </c>
      <c r="N11" s="602"/>
      <c r="O11" s="602">
        <v>91.016274487132137</v>
      </c>
      <c r="P11" s="602"/>
      <c r="Q11" s="70"/>
    </row>
    <row r="12" spans="1:17" ht="14.25" customHeight="1">
      <c r="A12" s="70"/>
      <c r="B12" s="82" t="s">
        <v>94</v>
      </c>
      <c r="C12" s="603" t="s">
        <v>95</v>
      </c>
      <c r="D12" s="603"/>
      <c r="E12" s="603"/>
      <c r="F12" s="603"/>
      <c r="G12" s="603"/>
      <c r="H12" s="600">
        <v>518.33774166000001</v>
      </c>
      <c r="I12" s="600"/>
      <c r="J12" s="600"/>
      <c r="K12" s="600">
        <v>304.11304954999997</v>
      </c>
      <c r="L12" s="600"/>
      <c r="M12" s="600">
        <v>-214.22469211000003</v>
      </c>
      <c r="N12" s="600"/>
      <c r="O12" s="600">
        <v>58.670828903190468</v>
      </c>
      <c r="P12" s="600"/>
      <c r="Q12" s="70"/>
    </row>
    <row r="13" spans="1:17" ht="14.25" customHeight="1">
      <c r="A13" s="70"/>
      <c r="B13" s="82" t="s">
        <v>96</v>
      </c>
      <c r="C13" s="603" t="s">
        <v>97</v>
      </c>
      <c r="D13" s="603"/>
      <c r="E13" s="603"/>
      <c r="F13" s="603"/>
      <c r="G13" s="603"/>
      <c r="H13" s="600">
        <v>423.82276829</v>
      </c>
      <c r="I13" s="600"/>
      <c r="J13" s="600"/>
      <c r="K13" s="600">
        <v>155.95245545</v>
      </c>
      <c r="L13" s="600"/>
      <c r="M13" s="600">
        <v>-267.87031284000005</v>
      </c>
      <c r="N13" s="600"/>
      <c r="O13" s="600">
        <v>36.796620455107266</v>
      </c>
      <c r="P13" s="600"/>
      <c r="Q13" s="70"/>
    </row>
    <row r="14" spans="1:17" ht="14.25" customHeight="1">
      <c r="A14" s="70"/>
      <c r="B14" s="82" t="s">
        <v>98</v>
      </c>
      <c r="C14" s="603" t="s">
        <v>99</v>
      </c>
      <c r="D14" s="603"/>
      <c r="E14" s="603"/>
      <c r="F14" s="603"/>
      <c r="G14" s="603"/>
      <c r="H14" s="600">
        <v>6469.6920888499999</v>
      </c>
      <c r="I14" s="600"/>
      <c r="J14" s="600"/>
      <c r="K14" s="600">
        <v>3679.8310837500003</v>
      </c>
      <c r="L14" s="600"/>
      <c r="M14" s="600">
        <v>-2789.8610050999996</v>
      </c>
      <c r="N14" s="600"/>
      <c r="O14" s="600">
        <v>56.877994087104952</v>
      </c>
      <c r="P14" s="600"/>
      <c r="Q14" s="70"/>
    </row>
    <row r="15" spans="1:17" ht="14.25" customHeight="1">
      <c r="A15" s="70"/>
      <c r="B15" s="82" t="s">
        <v>100</v>
      </c>
      <c r="C15" s="603" t="s">
        <v>42</v>
      </c>
      <c r="D15" s="603"/>
      <c r="E15" s="603"/>
      <c r="F15" s="603"/>
      <c r="G15" s="603"/>
      <c r="H15" s="600">
        <v>3092.6382620200002</v>
      </c>
      <c r="I15" s="600"/>
      <c r="J15" s="600"/>
      <c r="K15" s="600">
        <v>1628.2778091100001</v>
      </c>
      <c r="L15" s="600"/>
      <c r="M15" s="600">
        <v>-1464.3604529100003</v>
      </c>
      <c r="N15" s="600"/>
      <c r="O15" s="600">
        <v>52.650121713441756</v>
      </c>
      <c r="P15" s="600"/>
      <c r="Q15" s="70"/>
    </row>
    <row r="16" spans="1:17" ht="14.25" customHeight="1">
      <c r="A16" s="70"/>
      <c r="B16" s="82" t="s">
        <v>101</v>
      </c>
      <c r="C16" s="603" t="s">
        <v>44</v>
      </c>
      <c r="D16" s="603"/>
      <c r="E16" s="603"/>
      <c r="F16" s="603"/>
      <c r="G16" s="603"/>
      <c r="H16" s="600">
        <v>897.07806203999996</v>
      </c>
      <c r="I16" s="600"/>
      <c r="J16" s="600"/>
      <c r="K16" s="600">
        <v>1068.7003360199999</v>
      </c>
      <c r="L16" s="600"/>
      <c r="M16" s="600">
        <v>171.62227398000002</v>
      </c>
      <c r="N16" s="600"/>
      <c r="O16" s="600">
        <v>119.13125303607609</v>
      </c>
      <c r="P16" s="600"/>
      <c r="Q16" s="70"/>
    </row>
    <row r="17" spans="1:17" ht="14.25" customHeight="1">
      <c r="A17" s="70"/>
      <c r="B17" s="82" t="s">
        <v>102</v>
      </c>
      <c r="C17" s="603" t="s">
        <v>46</v>
      </c>
      <c r="D17" s="603"/>
      <c r="E17" s="603"/>
      <c r="F17" s="603"/>
      <c r="G17" s="603"/>
      <c r="H17" s="600">
        <v>269.52971448</v>
      </c>
      <c r="I17" s="600"/>
      <c r="J17" s="600"/>
      <c r="K17" s="600">
        <v>260.02432514999998</v>
      </c>
      <c r="L17" s="600"/>
      <c r="M17" s="600">
        <v>-9.5053893299999981</v>
      </c>
      <c r="N17" s="600"/>
      <c r="O17" s="600">
        <v>96.473342707931636</v>
      </c>
      <c r="P17" s="600"/>
      <c r="Q17" s="70"/>
    </row>
    <row r="18" spans="1:17" ht="14.25" customHeight="1">
      <c r="A18" s="70"/>
      <c r="B18" s="82" t="s">
        <v>103</v>
      </c>
      <c r="C18" s="603" t="s">
        <v>48</v>
      </c>
      <c r="D18" s="603"/>
      <c r="E18" s="603"/>
      <c r="F18" s="603"/>
      <c r="G18" s="603"/>
      <c r="H18" s="600">
        <v>1353.17790489</v>
      </c>
      <c r="I18" s="600"/>
      <c r="J18" s="600"/>
      <c r="K18" s="600">
        <v>794.13826855000002</v>
      </c>
      <c r="L18" s="600"/>
      <c r="M18" s="600">
        <v>-559.03963634000002</v>
      </c>
      <c r="N18" s="600"/>
      <c r="O18" s="600">
        <v>58.686907736241494</v>
      </c>
      <c r="P18" s="600"/>
      <c r="Q18" s="70"/>
    </row>
    <row r="19" spans="1:17" ht="14.25" customHeight="1">
      <c r="A19" s="70"/>
      <c r="B19" s="82" t="s">
        <v>104</v>
      </c>
      <c r="C19" s="603" t="s">
        <v>50</v>
      </c>
      <c r="D19" s="603"/>
      <c r="E19" s="603"/>
      <c r="F19" s="603"/>
      <c r="G19" s="603"/>
      <c r="H19" s="600">
        <v>283.43654176000001</v>
      </c>
      <c r="I19" s="600"/>
      <c r="J19" s="600"/>
      <c r="K19" s="600">
        <v>251.09226309000002</v>
      </c>
      <c r="L19" s="600"/>
      <c r="M19" s="600">
        <v>-32.344278669999987</v>
      </c>
      <c r="N19" s="600"/>
      <c r="O19" s="600">
        <v>88.588529033991847</v>
      </c>
      <c r="P19" s="600"/>
      <c r="Q19" s="70"/>
    </row>
    <row r="20" spans="1:17" ht="14.25" customHeight="1">
      <c r="A20" s="70"/>
      <c r="B20" s="82" t="s">
        <v>105</v>
      </c>
      <c r="C20" s="603" t="s">
        <v>56</v>
      </c>
      <c r="D20" s="603"/>
      <c r="E20" s="603"/>
      <c r="F20" s="603"/>
      <c r="G20" s="603"/>
      <c r="H20" s="600">
        <v>1.1200000000000001</v>
      </c>
      <c r="I20" s="600"/>
      <c r="J20" s="600"/>
      <c r="K20" s="600">
        <v>0</v>
      </c>
      <c r="L20" s="600"/>
      <c r="M20" s="600">
        <v>-1.1200000000000001</v>
      </c>
      <c r="N20" s="600"/>
      <c r="O20" s="600">
        <v>0</v>
      </c>
      <c r="P20" s="600"/>
      <c r="Q20" s="70"/>
    </row>
    <row r="21" spans="1:17" ht="14.25" customHeight="1" thickBot="1">
      <c r="A21" s="70"/>
      <c r="B21" s="82" t="s">
        <v>106</v>
      </c>
      <c r="C21" s="603" t="s">
        <v>58</v>
      </c>
      <c r="D21" s="603"/>
      <c r="E21" s="603"/>
      <c r="F21" s="603"/>
      <c r="G21" s="603"/>
      <c r="H21" s="600">
        <v>539.87325737000003</v>
      </c>
      <c r="I21" s="600"/>
      <c r="J21" s="600"/>
      <c r="K21" s="600">
        <v>456.36108000000002</v>
      </c>
      <c r="L21" s="600"/>
      <c r="M21" s="600">
        <v>-83.512177369999989</v>
      </c>
      <c r="N21" s="600"/>
      <c r="O21" s="600">
        <v>84.531151297096869</v>
      </c>
      <c r="P21" s="600"/>
      <c r="Q21" s="70"/>
    </row>
    <row r="22" spans="1:17" ht="14.25" customHeight="1" thickBot="1">
      <c r="A22" s="70"/>
      <c r="B22" s="83" t="s">
        <v>107</v>
      </c>
      <c r="C22" s="608" t="s">
        <v>158</v>
      </c>
      <c r="D22" s="608"/>
      <c r="E22" s="608"/>
      <c r="F22" s="608"/>
      <c r="G22" s="608"/>
      <c r="H22" s="609">
        <v>14726.122547110001</v>
      </c>
      <c r="I22" s="609"/>
      <c r="J22" s="609"/>
      <c r="K22" s="609">
        <v>9397.0822128899999</v>
      </c>
      <c r="L22" s="609"/>
      <c r="M22" s="609">
        <v>-5329.0403342199997</v>
      </c>
      <c r="N22" s="609"/>
      <c r="O22" s="609">
        <v>63.81233201630647</v>
      </c>
      <c r="P22" s="609"/>
      <c r="Q22" s="70"/>
    </row>
    <row r="23" spans="1:17" ht="14.25" customHeight="1" thickBot="1">
      <c r="A23" s="70"/>
      <c r="B23" s="83" t="s">
        <v>108</v>
      </c>
      <c r="C23" s="608" t="s">
        <v>63</v>
      </c>
      <c r="D23" s="608"/>
      <c r="E23" s="608"/>
      <c r="F23" s="608"/>
      <c r="G23" s="608"/>
      <c r="H23" s="609">
        <v>7743.1349017500006</v>
      </c>
      <c r="I23" s="609"/>
      <c r="J23" s="609"/>
      <c r="K23" s="609">
        <v>7797.0398964199994</v>
      </c>
      <c r="L23" s="609"/>
      <c r="M23" s="609">
        <v>53.904994669998999</v>
      </c>
      <c r="N23" s="609"/>
      <c r="O23" s="609">
        <v>100.69616499459174</v>
      </c>
      <c r="P23" s="609"/>
      <c r="Q23" s="70"/>
    </row>
    <row r="24" spans="1:17" ht="14.25" customHeight="1">
      <c r="A24" s="70"/>
      <c r="B24" s="84" t="s">
        <v>168</v>
      </c>
      <c r="C24" s="610" t="s">
        <v>160</v>
      </c>
      <c r="D24" s="610"/>
      <c r="E24" s="610"/>
      <c r="F24" s="610"/>
      <c r="G24" s="610"/>
      <c r="H24" s="611">
        <v>5006.7002428900005</v>
      </c>
      <c r="I24" s="611"/>
      <c r="J24" s="611"/>
      <c r="K24" s="611">
        <v>136.560869</v>
      </c>
      <c r="L24" s="611"/>
      <c r="M24" s="611">
        <v>-4870.1393738900006</v>
      </c>
      <c r="N24" s="611"/>
      <c r="O24" s="611">
        <v>2.727562313999718</v>
      </c>
      <c r="P24" s="611"/>
      <c r="Q24" s="70"/>
    </row>
    <row r="25" spans="1:17" ht="14.25" customHeight="1">
      <c r="A25" s="70"/>
      <c r="B25" s="82" t="s">
        <v>109</v>
      </c>
      <c r="C25" s="603" t="s">
        <v>65</v>
      </c>
      <c r="D25" s="603"/>
      <c r="E25" s="603"/>
      <c r="F25" s="603"/>
      <c r="G25" s="603"/>
      <c r="H25" s="600">
        <v>1.8066390000000001</v>
      </c>
      <c r="I25" s="600"/>
      <c r="J25" s="600"/>
      <c r="K25" s="600">
        <v>0</v>
      </c>
      <c r="L25" s="600"/>
      <c r="M25" s="600">
        <v>-1.8066390000000001</v>
      </c>
      <c r="N25" s="600"/>
      <c r="O25" s="600">
        <v>0</v>
      </c>
      <c r="P25" s="600"/>
      <c r="Q25" s="70"/>
    </row>
    <row r="26" spans="1:17" ht="14.25" customHeight="1">
      <c r="A26" s="70"/>
      <c r="B26" s="82" t="s">
        <v>110</v>
      </c>
      <c r="C26" s="603" t="s">
        <v>67</v>
      </c>
      <c r="D26" s="603"/>
      <c r="E26" s="603"/>
      <c r="F26" s="603"/>
      <c r="G26" s="603"/>
      <c r="H26" s="600">
        <v>195.00814299999999</v>
      </c>
      <c r="I26" s="600"/>
      <c r="J26" s="600"/>
      <c r="K26" s="600">
        <v>78.796448999999996</v>
      </c>
      <c r="L26" s="600"/>
      <c r="M26" s="600">
        <v>-116.21169399999999</v>
      </c>
      <c r="N26" s="600"/>
      <c r="O26" s="600">
        <v>40.406748040260048</v>
      </c>
      <c r="P26" s="600"/>
      <c r="Q26" s="70"/>
    </row>
    <row r="27" spans="1:17" ht="14.25" customHeight="1">
      <c r="A27" s="70"/>
      <c r="B27" s="82" t="s">
        <v>111</v>
      </c>
      <c r="C27" s="603" t="s">
        <v>69</v>
      </c>
      <c r="D27" s="603"/>
      <c r="E27" s="603"/>
      <c r="F27" s="603"/>
      <c r="G27" s="603"/>
      <c r="H27" s="600">
        <v>0.17135999999999998</v>
      </c>
      <c r="I27" s="600"/>
      <c r="J27" s="600"/>
      <c r="K27" s="600">
        <v>0</v>
      </c>
      <c r="L27" s="600"/>
      <c r="M27" s="600">
        <v>-0.17135999999999998</v>
      </c>
      <c r="N27" s="600"/>
      <c r="O27" s="600">
        <v>0</v>
      </c>
      <c r="P27" s="600"/>
      <c r="Q27" s="70"/>
    </row>
    <row r="28" spans="1:17" ht="14.25" customHeight="1">
      <c r="A28" s="70"/>
      <c r="B28" s="82" t="s">
        <v>112</v>
      </c>
      <c r="C28" s="603" t="s">
        <v>71</v>
      </c>
      <c r="D28" s="603"/>
      <c r="E28" s="603"/>
      <c r="F28" s="603"/>
      <c r="G28" s="603"/>
      <c r="H28" s="600">
        <v>76.031528850000001</v>
      </c>
      <c r="I28" s="600"/>
      <c r="J28" s="600"/>
      <c r="K28" s="600">
        <v>788.77744000000007</v>
      </c>
      <c r="L28" s="600"/>
      <c r="M28" s="600">
        <v>712.74591114999998</v>
      </c>
      <c r="N28" s="600"/>
      <c r="O28" s="600">
        <v>1037.434669446345</v>
      </c>
      <c r="P28" s="600"/>
      <c r="Q28" s="70"/>
    </row>
    <row r="29" spans="1:17" ht="14.25" customHeight="1">
      <c r="A29" s="70"/>
      <c r="B29" s="82" t="s">
        <v>113</v>
      </c>
      <c r="C29" s="603" t="s">
        <v>73</v>
      </c>
      <c r="D29" s="603"/>
      <c r="E29" s="603"/>
      <c r="F29" s="603"/>
      <c r="G29" s="603"/>
      <c r="H29" s="600">
        <v>1205.6483352299999</v>
      </c>
      <c r="I29" s="600"/>
      <c r="J29" s="600"/>
      <c r="K29" s="600">
        <v>282.57155038000002</v>
      </c>
      <c r="L29" s="600"/>
      <c r="M29" s="600">
        <v>-923.07678484999997</v>
      </c>
      <c r="N29" s="600"/>
      <c r="O29" s="600">
        <v>23.437311040295526</v>
      </c>
      <c r="P29" s="600"/>
      <c r="Q29" s="70"/>
    </row>
    <row r="30" spans="1:17" ht="14.25" customHeight="1">
      <c r="A30" s="70"/>
      <c r="B30" s="82" t="s">
        <v>114</v>
      </c>
      <c r="C30" s="603" t="s">
        <v>77</v>
      </c>
      <c r="D30" s="603"/>
      <c r="E30" s="603"/>
      <c r="F30" s="603"/>
      <c r="G30" s="603"/>
      <c r="H30" s="600">
        <v>25.797890000000002</v>
      </c>
      <c r="I30" s="600"/>
      <c r="J30" s="600"/>
      <c r="K30" s="600">
        <v>39.833456999999996</v>
      </c>
      <c r="L30" s="600"/>
      <c r="M30" s="600">
        <v>14.035566999999997</v>
      </c>
      <c r="N30" s="600"/>
      <c r="O30" s="600">
        <v>154.40587195309382</v>
      </c>
      <c r="P30" s="600"/>
      <c r="Q30" s="70"/>
    </row>
    <row r="31" spans="1:17" ht="14.25" customHeight="1">
      <c r="A31" s="70"/>
      <c r="B31" s="82" t="s">
        <v>115</v>
      </c>
      <c r="C31" s="603" t="s">
        <v>79</v>
      </c>
      <c r="D31" s="603"/>
      <c r="E31" s="603"/>
      <c r="F31" s="603"/>
      <c r="G31" s="603"/>
      <c r="H31" s="600">
        <v>81.475653160000007</v>
      </c>
      <c r="I31" s="600"/>
      <c r="J31" s="600"/>
      <c r="K31" s="600">
        <v>268.44050408999999</v>
      </c>
      <c r="L31" s="600"/>
      <c r="M31" s="600">
        <v>186.96485092999998</v>
      </c>
      <c r="N31" s="600"/>
      <c r="O31" s="600">
        <v>329.47327659079053</v>
      </c>
      <c r="P31" s="600"/>
      <c r="Q31" s="70"/>
    </row>
    <row r="32" spans="1:17" ht="14.25" customHeight="1">
      <c r="A32" s="70"/>
      <c r="B32" s="82" t="s">
        <v>116</v>
      </c>
      <c r="C32" s="603" t="s">
        <v>81</v>
      </c>
      <c r="D32" s="603"/>
      <c r="E32" s="603"/>
      <c r="F32" s="603"/>
      <c r="G32" s="603"/>
      <c r="H32" s="600">
        <v>3.5837219499999997</v>
      </c>
      <c r="I32" s="600"/>
      <c r="J32" s="600"/>
      <c r="K32" s="600">
        <v>2.4569810000000003</v>
      </c>
      <c r="L32" s="600"/>
      <c r="M32" s="600">
        <v>-1.1267409499999996</v>
      </c>
      <c r="N32" s="600"/>
      <c r="O32" s="600">
        <v>68.559476272984853</v>
      </c>
      <c r="P32" s="600"/>
      <c r="Q32" s="70"/>
    </row>
    <row r="33" spans="1:17" ht="14.25" customHeight="1">
      <c r="A33" s="70"/>
      <c r="B33" s="82" t="s">
        <v>150</v>
      </c>
      <c r="C33" s="603" t="s">
        <v>83</v>
      </c>
      <c r="D33" s="603"/>
      <c r="E33" s="603"/>
      <c r="F33" s="603"/>
      <c r="G33" s="603"/>
      <c r="H33" s="600">
        <v>0.41003999999999996</v>
      </c>
      <c r="I33" s="600"/>
      <c r="J33" s="600"/>
      <c r="K33" s="600">
        <v>0</v>
      </c>
      <c r="L33" s="600"/>
      <c r="M33" s="600">
        <v>-0.41003999999999996</v>
      </c>
      <c r="N33" s="600"/>
      <c r="O33" s="600">
        <v>0</v>
      </c>
      <c r="P33" s="600"/>
      <c r="Q33" s="70"/>
    </row>
    <row r="34" spans="1:17" ht="14.25" customHeight="1">
      <c r="A34" s="70"/>
      <c r="B34" s="82" t="s">
        <v>117</v>
      </c>
      <c r="C34" s="603" t="s">
        <v>85</v>
      </c>
      <c r="D34" s="603"/>
      <c r="E34" s="603"/>
      <c r="F34" s="603"/>
      <c r="G34" s="603"/>
      <c r="H34" s="600">
        <v>50.072144000000002</v>
      </c>
      <c r="I34" s="600"/>
      <c r="J34" s="600"/>
      <c r="K34" s="600">
        <v>0</v>
      </c>
      <c r="L34" s="600"/>
      <c r="M34" s="600">
        <v>-50.072144000000002</v>
      </c>
      <c r="N34" s="600"/>
      <c r="O34" s="600">
        <v>0</v>
      </c>
      <c r="P34" s="600"/>
      <c r="Q34" s="70"/>
    </row>
    <row r="35" spans="1:17" ht="14.25" customHeight="1" thickBot="1">
      <c r="A35" s="70"/>
      <c r="B35" s="82" t="s">
        <v>118</v>
      </c>
      <c r="C35" s="603" t="s">
        <v>87</v>
      </c>
      <c r="D35" s="603"/>
      <c r="E35" s="603"/>
      <c r="F35" s="603"/>
      <c r="G35" s="603"/>
      <c r="H35" s="600">
        <v>1.3201310000000002</v>
      </c>
      <c r="I35" s="600"/>
      <c r="J35" s="600"/>
      <c r="K35" s="600">
        <v>2.6050659999999999</v>
      </c>
      <c r="L35" s="600"/>
      <c r="M35" s="600">
        <v>1.2849349999999999</v>
      </c>
      <c r="N35" s="600"/>
      <c r="O35" s="600">
        <v>197.33390095376896</v>
      </c>
      <c r="P35" s="600"/>
      <c r="Q35" s="70"/>
    </row>
    <row r="36" spans="1:17" ht="14.25" customHeight="1" thickBot="1">
      <c r="A36" s="70"/>
      <c r="B36" s="83" t="s">
        <v>119</v>
      </c>
      <c r="C36" s="608" t="s">
        <v>161</v>
      </c>
      <c r="D36" s="608"/>
      <c r="E36" s="608"/>
      <c r="F36" s="608"/>
      <c r="G36" s="608"/>
      <c r="H36" s="609">
        <v>14391.160730830001</v>
      </c>
      <c r="I36" s="609"/>
      <c r="J36" s="609"/>
      <c r="K36" s="609">
        <v>9397.0822128899999</v>
      </c>
      <c r="L36" s="609"/>
      <c r="M36" s="609">
        <v>-4994.07851794</v>
      </c>
      <c r="N36" s="609"/>
      <c r="O36" s="609">
        <v>65.297597522893</v>
      </c>
      <c r="P36" s="609"/>
      <c r="Q36" s="70"/>
    </row>
    <row r="37" spans="1:17" ht="14.25" customHeight="1" thickBot="1">
      <c r="A37" s="70"/>
      <c r="B37" s="85"/>
      <c r="C37" s="612" t="s">
        <v>89</v>
      </c>
      <c r="D37" s="612"/>
      <c r="E37" s="612"/>
      <c r="F37" s="612"/>
      <c r="G37" s="612"/>
      <c r="H37" s="86"/>
      <c r="I37" s="87"/>
      <c r="J37" s="88"/>
      <c r="K37" s="86"/>
      <c r="L37" s="88"/>
      <c r="M37" s="86"/>
      <c r="N37" s="88"/>
      <c r="O37" s="86"/>
      <c r="P37" s="88"/>
      <c r="Q37" s="70"/>
    </row>
    <row r="38" spans="1:17" ht="14.25" customHeight="1">
      <c r="A38" s="70"/>
      <c r="B38" s="82" t="s">
        <v>169</v>
      </c>
      <c r="C38" s="603" t="s">
        <v>90</v>
      </c>
      <c r="D38" s="603"/>
      <c r="E38" s="603"/>
      <c r="F38" s="603"/>
      <c r="G38" s="603"/>
      <c r="H38" s="600">
        <v>6432.3054316400003</v>
      </c>
      <c r="I38" s="600"/>
      <c r="J38" s="600"/>
      <c r="K38" s="600">
        <v>6508.5535383000006</v>
      </c>
      <c r="L38" s="600"/>
      <c r="M38" s="600">
        <v>76.248106660000047</v>
      </c>
      <c r="N38" s="600"/>
      <c r="O38" s="600">
        <v>101.18539312957593</v>
      </c>
      <c r="P38" s="600"/>
      <c r="Q38" s="70"/>
    </row>
    <row r="39" spans="1:17" ht="14.25" customHeight="1">
      <c r="A39" s="70"/>
      <c r="B39" s="82" t="s">
        <v>170</v>
      </c>
      <c r="C39" s="603" t="s">
        <v>91</v>
      </c>
      <c r="D39" s="603"/>
      <c r="E39" s="603"/>
      <c r="F39" s="603"/>
      <c r="G39" s="603"/>
      <c r="H39" s="600">
        <v>1028.19837708</v>
      </c>
      <c r="I39" s="600"/>
      <c r="J39" s="600"/>
      <c r="K39" s="600">
        <v>939.67878475999998</v>
      </c>
      <c r="L39" s="600"/>
      <c r="M39" s="600">
        <v>-88.519592320000086</v>
      </c>
      <c r="N39" s="600"/>
      <c r="O39" s="600">
        <v>91.390806064935788</v>
      </c>
      <c r="P39" s="600"/>
      <c r="Q39" s="70"/>
    </row>
    <row r="40" spans="1:17" ht="14.25" customHeight="1">
      <c r="A40" s="70"/>
      <c r="B40" s="82" t="s">
        <v>171</v>
      </c>
      <c r="C40" s="603" t="s">
        <v>92</v>
      </c>
      <c r="D40" s="603"/>
      <c r="E40" s="603"/>
      <c r="F40" s="603"/>
      <c r="G40" s="603"/>
      <c r="H40" s="600">
        <v>38.835093029999996</v>
      </c>
      <c r="I40" s="600"/>
      <c r="J40" s="600"/>
      <c r="K40" s="600">
        <v>306.51557336000002</v>
      </c>
      <c r="L40" s="600"/>
      <c r="M40" s="600">
        <v>267.68048033000002</v>
      </c>
      <c r="N40" s="600"/>
      <c r="O40" s="600">
        <v>789.27472408323479</v>
      </c>
      <c r="P40" s="600"/>
      <c r="Q40" s="70"/>
    </row>
    <row r="41" spans="1:17" ht="16.5" customHeight="1" thickBot="1">
      <c r="A41" s="70"/>
      <c r="B41" s="89" t="s">
        <v>172</v>
      </c>
      <c r="C41" s="614" t="s">
        <v>149</v>
      </c>
      <c r="D41" s="614"/>
      <c r="E41" s="614"/>
      <c r="F41" s="614"/>
      <c r="G41" s="614"/>
      <c r="H41" s="615">
        <v>0</v>
      </c>
      <c r="I41" s="615"/>
      <c r="J41" s="615"/>
      <c r="K41" s="615">
        <v>41.802</v>
      </c>
      <c r="L41" s="615"/>
      <c r="M41" s="615">
        <v>41.802</v>
      </c>
      <c r="N41" s="615"/>
      <c r="O41" s="615">
        <v>0</v>
      </c>
      <c r="P41" s="615"/>
      <c r="Q41" s="70"/>
    </row>
    <row r="42" spans="1:17" ht="15.75" customHeight="1">
      <c r="B42" s="70"/>
      <c r="C42" s="613" t="s">
        <v>166</v>
      </c>
      <c r="D42" s="613"/>
      <c r="E42" s="613"/>
      <c r="F42" s="613"/>
      <c r="G42" s="613"/>
      <c r="H42" s="70"/>
      <c r="I42" s="70"/>
      <c r="J42" s="70"/>
      <c r="K42" s="70"/>
      <c r="L42" s="70"/>
      <c r="M42" s="70"/>
      <c r="N42" s="70"/>
      <c r="O42" s="70"/>
      <c r="P42" s="70"/>
    </row>
    <row r="43" spans="1:17" ht="3.75" customHeight="1"/>
    <row r="44" spans="1:17" ht="3.75" customHeight="1"/>
    <row r="45" spans="1:17" ht="3.75" customHeight="1"/>
    <row r="46" spans="1:17" ht="3.75" customHeight="1"/>
    <row r="47" spans="1:17" ht="15" customHeight="1"/>
    <row r="48" spans="1:17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</sheetData>
  <mergeCells count="159">
    <mergeCell ref="C42:G42"/>
    <mergeCell ref="O40:P40"/>
    <mergeCell ref="C41:G41"/>
    <mergeCell ref="H41:J41"/>
    <mergeCell ref="K41:L41"/>
    <mergeCell ref="M41:N41"/>
    <mergeCell ref="O41:P41"/>
    <mergeCell ref="C40:G40"/>
    <mergeCell ref="K40:L40"/>
    <mergeCell ref="M40:N40"/>
    <mergeCell ref="H40:J40"/>
    <mergeCell ref="O39:P39"/>
    <mergeCell ref="M38:N38"/>
    <mergeCell ref="M36:N36"/>
    <mergeCell ref="O38:P38"/>
    <mergeCell ref="H38:J38"/>
    <mergeCell ref="K38:L38"/>
    <mergeCell ref="K36:L36"/>
    <mergeCell ref="C39:G39"/>
    <mergeCell ref="H39:J39"/>
    <mergeCell ref="K39:L39"/>
    <mergeCell ref="M39:N39"/>
    <mergeCell ref="K35:L35"/>
    <mergeCell ref="M35:N35"/>
    <mergeCell ref="C37:G37"/>
    <mergeCell ref="C38:G38"/>
    <mergeCell ref="O29:P29"/>
    <mergeCell ref="C30:G30"/>
    <mergeCell ref="H30:J30"/>
    <mergeCell ref="K30:L30"/>
    <mergeCell ref="M30:N30"/>
    <mergeCell ref="O30:P30"/>
    <mergeCell ref="C29:G29"/>
    <mergeCell ref="H29:J29"/>
    <mergeCell ref="O35:P35"/>
    <mergeCell ref="C36:G36"/>
    <mergeCell ref="K29:L29"/>
    <mergeCell ref="M29:N29"/>
    <mergeCell ref="H31:J31"/>
    <mergeCell ref="O36:P36"/>
    <mergeCell ref="O33:P33"/>
    <mergeCell ref="O34:P34"/>
    <mergeCell ref="O31:P31"/>
    <mergeCell ref="O32:P32"/>
    <mergeCell ref="K32:L32"/>
    <mergeCell ref="M32:N32"/>
    <mergeCell ref="C35:G35"/>
    <mergeCell ref="H35:J35"/>
    <mergeCell ref="C34:G34"/>
    <mergeCell ref="H34:J34"/>
    <mergeCell ref="K34:L34"/>
    <mergeCell ref="M34:N34"/>
    <mergeCell ref="M31:N31"/>
    <mergeCell ref="H36:J36"/>
    <mergeCell ref="K33:L33"/>
    <mergeCell ref="M33:N33"/>
    <mergeCell ref="H32:J32"/>
    <mergeCell ref="C31:G31"/>
    <mergeCell ref="C33:G33"/>
    <mergeCell ref="H33:J33"/>
    <mergeCell ref="K31:L31"/>
    <mergeCell ref="C32:G32"/>
    <mergeCell ref="O27:P27"/>
    <mergeCell ref="C28:G28"/>
    <mergeCell ref="H28:J28"/>
    <mergeCell ref="K28:L28"/>
    <mergeCell ref="M28:N28"/>
    <mergeCell ref="O28:P28"/>
    <mergeCell ref="C27:G27"/>
    <mergeCell ref="H27:J27"/>
    <mergeCell ref="K27:L27"/>
    <mergeCell ref="M27:N27"/>
    <mergeCell ref="O25:P25"/>
    <mergeCell ref="C26:G26"/>
    <mergeCell ref="H26:J26"/>
    <mergeCell ref="K26:L26"/>
    <mergeCell ref="M26:N26"/>
    <mergeCell ref="O26:P26"/>
    <mergeCell ref="C25:G25"/>
    <mergeCell ref="H25:J25"/>
    <mergeCell ref="K25:L25"/>
    <mergeCell ref="M25:N25"/>
    <mergeCell ref="O23:P23"/>
    <mergeCell ref="C24:G24"/>
    <mergeCell ref="H24:J24"/>
    <mergeCell ref="K24:L24"/>
    <mergeCell ref="M24:N24"/>
    <mergeCell ref="O24:P24"/>
    <mergeCell ref="C23:G23"/>
    <mergeCell ref="H23:J23"/>
    <mergeCell ref="K23:L23"/>
    <mergeCell ref="M23:N23"/>
    <mergeCell ref="O21:P21"/>
    <mergeCell ref="C22:G22"/>
    <mergeCell ref="H22:J22"/>
    <mergeCell ref="K22:L22"/>
    <mergeCell ref="M22:N22"/>
    <mergeCell ref="O22:P22"/>
    <mergeCell ref="C21:G21"/>
    <mergeCell ref="H21:J21"/>
    <mergeCell ref="K21:L21"/>
    <mergeCell ref="M21:N21"/>
    <mergeCell ref="O19:P19"/>
    <mergeCell ref="C20:G20"/>
    <mergeCell ref="H20:J20"/>
    <mergeCell ref="K20:L20"/>
    <mergeCell ref="M20:N20"/>
    <mergeCell ref="O20:P20"/>
    <mergeCell ref="C19:G19"/>
    <mergeCell ref="H19:J19"/>
    <mergeCell ref="K19:L19"/>
    <mergeCell ref="M19:N19"/>
    <mergeCell ref="O17:P17"/>
    <mergeCell ref="C18:G18"/>
    <mergeCell ref="H18:J18"/>
    <mergeCell ref="K18:L18"/>
    <mergeCell ref="M18:N18"/>
    <mergeCell ref="O18:P18"/>
    <mergeCell ref="C17:G17"/>
    <mergeCell ref="H17:J17"/>
    <mergeCell ref="K17:L17"/>
    <mergeCell ref="M17:N17"/>
    <mergeCell ref="O15:P15"/>
    <mergeCell ref="C16:G16"/>
    <mergeCell ref="H16:J16"/>
    <mergeCell ref="K16:L16"/>
    <mergeCell ref="M16:N16"/>
    <mergeCell ref="O16:P16"/>
    <mergeCell ref="C15:G15"/>
    <mergeCell ref="H15:J15"/>
    <mergeCell ref="K15:L15"/>
    <mergeCell ref="M15:N15"/>
    <mergeCell ref="O13:P13"/>
    <mergeCell ref="C14:G14"/>
    <mergeCell ref="H14:J14"/>
    <mergeCell ref="K14:L14"/>
    <mergeCell ref="M14:N14"/>
    <mergeCell ref="O14:P14"/>
    <mergeCell ref="C13:G13"/>
    <mergeCell ref="H13:J13"/>
    <mergeCell ref="K13:L13"/>
    <mergeCell ref="M13:N13"/>
    <mergeCell ref="B5:O5"/>
    <mergeCell ref="M9:N9"/>
    <mergeCell ref="O9:P9"/>
    <mergeCell ref="C10:G10"/>
    <mergeCell ref="K10:L10"/>
    <mergeCell ref="M10:N10"/>
    <mergeCell ref="O10:P10"/>
    <mergeCell ref="O12:P12"/>
    <mergeCell ref="C11:G11"/>
    <mergeCell ref="H11:J11"/>
    <mergeCell ref="K11:L11"/>
    <mergeCell ref="M11:N11"/>
    <mergeCell ref="O11:P11"/>
    <mergeCell ref="C12:G12"/>
    <mergeCell ref="H12:J12"/>
    <mergeCell ref="K12:L12"/>
    <mergeCell ref="M12:N12"/>
  </mergeCells>
  <phoneticPr fontId="13" type="noConversion"/>
  <printOptions horizontalCentered="1"/>
  <pageMargins left="0.39370078740157483" right="0" top="0.19685039370078741" bottom="0" header="0" footer="0"/>
  <pageSetup paperSize="9" fitToWidth="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Q52"/>
  <sheetViews>
    <sheetView showGridLines="0" tabSelected="1" showOutlineSymbols="0" topLeftCell="A22" zoomScaleNormal="100" workbookViewId="0">
      <selection activeCell="U15" sqref="U15"/>
    </sheetView>
  </sheetViews>
  <sheetFormatPr defaultColWidth="6.83203125" defaultRowHeight="12.75" customHeight="1"/>
  <cols>
    <col min="1" max="1" width="1" style="90" customWidth="1"/>
    <col min="2" max="2" width="6.33203125" style="90" customWidth="1"/>
    <col min="3" max="3" width="4.33203125" style="90" customWidth="1"/>
    <col min="4" max="4" width="13.5" style="90" customWidth="1"/>
    <col min="5" max="5" width="2.6640625" style="90" customWidth="1"/>
    <col min="6" max="6" width="1.33203125" style="90" customWidth="1"/>
    <col min="7" max="7" width="21.33203125" style="90" customWidth="1"/>
    <col min="8" max="8" width="6.83203125" style="90" customWidth="1"/>
    <col min="9" max="9" width="1.5" style="90" customWidth="1"/>
    <col min="10" max="10" width="2.5" style="90" customWidth="1"/>
    <col min="11" max="11" width="8.5" style="90" customWidth="1"/>
    <col min="12" max="12" width="1.5" style="90" customWidth="1"/>
    <col min="13" max="13" width="8.33203125" style="90" customWidth="1"/>
    <col min="14" max="14" width="1.83203125" style="90" customWidth="1"/>
    <col min="15" max="15" width="7.5" style="90" customWidth="1"/>
    <col min="16" max="16" width="1.33203125" style="90" customWidth="1"/>
    <col min="17" max="17" width="3.1640625" style="90" customWidth="1"/>
    <col min="18" max="16384" width="6.83203125" style="90"/>
  </cols>
  <sheetData>
    <row r="2" spans="1:17" ht="15" customHeight="1">
      <c r="M2" s="90" t="s">
        <v>151</v>
      </c>
    </row>
    <row r="3" spans="1:17" ht="15" customHeight="1">
      <c r="M3" s="90" t="s">
        <v>30</v>
      </c>
    </row>
    <row r="4" spans="1:17" ht="15" customHeight="1"/>
    <row r="5" spans="1:17" ht="13.9" customHeight="1">
      <c r="B5" s="634" t="s">
        <v>173</v>
      </c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634"/>
      <c r="N5" s="634"/>
      <c r="O5" s="634"/>
      <c r="P5" s="634"/>
    </row>
    <row r="6" spans="1:17" ht="4.9000000000000004" hidden="1" customHeight="1">
      <c r="G6" s="91"/>
      <c r="H6" s="91"/>
      <c r="I6" s="91"/>
      <c r="J6" s="91"/>
      <c r="K6" s="91"/>
      <c r="L6" s="91"/>
      <c r="M6" s="91"/>
      <c r="N6" s="91"/>
      <c r="O6" s="91"/>
      <c r="P6" s="91"/>
    </row>
    <row r="7" spans="1:17">
      <c r="O7" s="92"/>
    </row>
    <row r="8" spans="1:17" ht="16.149999999999999" customHeight="1" thickBot="1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 t="s">
        <v>34</v>
      </c>
      <c r="P8" s="91"/>
    </row>
    <row r="9" spans="1:17" ht="15" customHeight="1" thickBot="1">
      <c r="A9" s="93"/>
      <c r="B9" s="635" t="s">
        <v>153</v>
      </c>
      <c r="C9" s="94"/>
      <c r="D9" s="95"/>
      <c r="E9" s="95"/>
      <c r="F9" s="95"/>
      <c r="G9" s="96"/>
      <c r="H9" s="97" t="s">
        <v>174</v>
      </c>
      <c r="I9" s="98"/>
      <c r="J9" s="99"/>
      <c r="K9" s="97" t="s">
        <v>174</v>
      </c>
      <c r="L9" s="99"/>
      <c r="M9" s="637" t="s">
        <v>36</v>
      </c>
      <c r="N9" s="637"/>
      <c r="O9" s="637" t="s">
        <v>37</v>
      </c>
      <c r="P9" s="637"/>
      <c r="Q9" s="91"/>
    </row>
    <row r="10" spans="1:17" ht="23.45" customHeight="1" thickBot="1">
      <c r="A10" s="93"/>
      <c r="B10" s="636"/>
      <c r="C10" s="636" t="s">
        <v>155</v>
      </c>
      <c r="D10" s="636"/>
      <c r="E10" s="636"/>
      <c r="F10" s="636"/>
      <c r="G10" s="636"/>
      <c r="H10" s="100" t="s">
        <v>156</v>
      </c>
      <c r="I10" s="98"/>
      <c r="J10" s="101" t="s">
        <v>35</v>
      </c>
      <c r="K10" s="637" t="s">
        <v>157</v>
      </c>
      <c r="L10" s="637"/>
      <c r="M10" s="637" t="s">
        <v>38</v>
      </c>
      <c r="N10" s="637"/>
      <c r="O10" s="637" t="s">
        <v>33</v>
      </c>
      <c r="P10" s="637"/>
      <c r="Q10" s="91"/>
    </row>
    <row r="11" spans="1:17" ht="14.25" customHeight="1">
      <c r="A11" s="91"/>
      <c r="B11" s="102" t="s">
        <v>120</v>
      </c>
      <c r="C11" s="632" t="s">
        <v>40</v>
      </c>
      <c r="D11" s="632"/>
      <c r="E11" s="632"/>
      <c r="F11" s="632"/>
      <c r="G11" s="632"/>
      <c r="H11" s="633">
        <v>8423.4401489100001</v>
      </c>
      <c r="I11" s="633"/>
      <c r="J11" s="633"/>
      <c r="K11" s="633">
        <v>3514.1013447300002</v>
      </c>
      <c r="L11" s="633"/>
      <c r="M11" s="633">
        <v>-4909.3388041799999</v>
      </c>
      <c r="N11" s="633"/>
      <c r="O11" s="633">
        <v>41.718125642344923</v>
      </c>
      <c r="P11" s="633"/>
      <c r="Q11" s="91"/>
    </row>
    <row r="12" spans="1:17" ht="14.25" customHeight="1">
      <c r="A12" s="91"/>
      <c r="B12" s="103" t="s">
        <v>121</v>
      </c>
      <c r="C12" s="616" t="s">
        <v>95</v>
      </c>
      <c r="D12" s="616"/>
      <c r="E12" s="616"/>
      <c r="F12" s="616"/>
      <c r="G12" s="616"/>
      <c r="H12" s="617">
        <v>518.33774166000001</v>
      </c>
      <c r="I12" s="617"/>
      <c r="J12" s="617"/>
      <c r="K12" s="617">
        <v>304.11304954999997</v>
      </c>
      <c r="L12" s="617"/>
      <c r="M12" s="617">
        <v>-214.22469211000003</v>
      </c>
      <c r="N12" s="617"/>
      <c r="O12" s="617">
        <v>58.670828903190468</v>
      </c>
      <c r="P12" s="617"/>
      <c r="Q12" s="91"/>
    </row>
    <row r="13" spans="1:17" ht="14.25" customHeight="1">
      <c r="A13" s="91"/>
      <c r="B13" s="103" t="s">
        <v>122</v>
      </c>
      <c r="C13" s="616" t="s">
        <v>97</v>
      </c>
      <c r="D13" s="616"/>
      <c r="E13" s="616"/>
      <c r="F13" s="616"/>
      <c r="G13" s="616"/>
      <c r="H13" s="617">
        <v>423.82276829</v>
      </c>
      <c r="I13" s="617"/>
      <c r="J13" s="617"/>
      <c r="K13" s="617">
        <v>155.95245545</v>
      </c>
      <c r="L13" s="617"/>
      <c r="M13" s="617">
        <v>-267.87031284000005</v>
      </c>
      <c r="N13" s="617"/>
      <c r="O13" s="617">
        <v>36.796620455107266</v>
      </c>
      <c r="P13" s="617"/>
      <c r="Q13" s="91"/>
    </row>
    <row r="14" spans="1:17" ht="14.25" customHeight="1">
      <c r="A14" s="91"/>
      <c r="B14" s="103" t="s">
        <v>123</v>
      </c>
      <c r="C14" s="616" t="s">
        <v>99</v>
      </c>
      <c r="D14" s="616"/>
      <c r="E14" s="616"/>
      <c r="F14" s="616"/>
      <c r="G14" s="616"/>
      <c r="H14" s="617">
        <v>6469.6920888499999</v>
      </c>
      <c r="I14" s="617"/>
      <c r="J14" s="617"/>
      <c r="K14" s="617">
        <v>3679.8310837500003</v>
      </c>
      <c r="L14" s="617"/>
      <c r="M14" s="617">
        <v>-2789.8610050999996</v>
      </c>
      <c r="N14" s="617"/>
      <c r="O14" s="617">
        <v>56.877994087104952</v>
      </c>
      <c r="P14" s="617"/>
      <c r="Q14" s="91"/>
    </row>
    <row r="15" spans="1:17" ht="14.25" customHeight="1">
      <c r="A15" s="91"/>
      <c r="B15" s="103" t="s">
        <v>124</v>
      </c>
      <c r="C15" s="616" t="s">
        <v>42</v>
      </c>
      <c r="D15" s="616"/>
      <c r="E15" s="616"/>
      <c r="F15" s="616"/>
      <c r="G15" s="616"/>
      <c r="H15" s="617">
        <v>64344.298570830004</v>
      </c>
      <c r="I15" s="617"/>
      <c r="J15" s="617"/>
      <c r="K15" s="617">
        <v>32971.075396109998</v>
      </c>
      <c r="L15" s="617"/>
      <c r="M15" s="617">
        <v>-31373.223174720002</v>
      </c>
      <c r="N15" s="617"/>
      <c r="O15" s="617">
        <v>51.241642427441413</v>
      </c>
      <c r="P15" s="617"/>
      <c r="Q15" s="91"/>
    </row>
    <row r="16" spans="1:17" ht="14.25" customHeight="1">
      <c r="A16" s="91"/>
      <c r="B16" s="103" t="s">
        <v>125</v>
      </c>
      <c r="C16" s="616" t="s">
        <v>44</v>
      </c>
      <c r="D16" s="616"/>
      <c r="E16" s="616"/>
      <c r="F16" s="616"/>
      <c r="G16" s="616"/>
      <c r="H16" s="617">
        <v>16285.270784400002</v>
      </c>
      <c r="I16" s="617"/>
      <c r="J16" s="617"/>
      <c r="K16" s="617">
        <v>7366.2856397400001</v>
      </c>
      <c r="L16" s="617"/>
      <c r="M16" s="617">
        <v>-8918.9851446600005</v>
      </c>
      <c r="N16" s="617"/>
      <c r="O16" s="617">
        <v>45.232810293804377</v>
      </c>
      <c r="P16" s="617"/>
      <c r="Q16" s="91"/>
    </row>
    <row r="17" spans="1:17" ht="14.25" customHeight="1">
      <c r="A17" s="91"/>
      <c r="B17" s="103" t="s">
        <v>126</v>
      </c>
      <c r="C17" s="616" t="s">
        <v>46</v>
      </c>
      <c r="D17" s="616"/>
      <c r="E17" s="616"/>
      <c r="F17" s="616"/>
      <c r="G17" s="616"/>
      <c r="H17" s="617">
        <v>7808.3873848699996</v>
      </c>
      <c r="I17" s="617"/>
      <c r="J17" s="617"/>
      <c r="K17" s="617">
        <v>2718.1431590400002</v>
      </c>
      <c r="L17" s="617"/>
      <c r="M17" s="617">
        <v>-5090.2442258299998</v>
      </c>
      <c r="N17" s="617"/>
      <c r="O17" s="617">
        <v>34.810557226026432</v>
      </c>
      <c r="P17" s="617"/>
      <c r="Q17" s="91"/>
    </row>
    <row r="18" spans="1:17" ht="14.25" customHeight="1">
      <c r="A18" s="91"/>
      <c r="B18" s="103" t="s">
        <v>127</v>
      </c>
      <c r="C18" s="616" t="s">
        <v>48</v>
      </c>
      <c r="D18" s="616"/>
      <c r="E18" s="616"/>
      <c r="F18" s="616"/>
      <c r="G18" s="616"/>
      <c r="H18" s="617">
        <v>30668.082308319998</v>
      </c>
      <c r="I18" s="617"/>
      <c r="J18" s="617"/>
      <c r="K18" s="617">
        <v>12459.97187256</v>
      </c>
      <c r="L18" s="617"/>
      <c r="M18" s="617">
        <v>-18208.110435759998</v>
      </c>
      <c r="N18" s="617"/>
      <c r="O18" s="617">
        <v>40.62846756211983</v>
      </c>
      <c r="P18" s="617"/>
      <c r="Q18" s="91"/>
    </row>
    <row r="19" spans="1:17" ht="14.25" customHeight="1">
      <c r="A19" s="91"/>
      <c r="B19" s="103" t="s">
        <v>128</v>
      </c>
      <c r="C19" s="616" t="s">
        <v>50</v>
      </c>
      <c r="D19" s="616"/>
      <c r="E19" s="616"/>
      <c r="F19" s="616"/>
      <c r="G19" s="616"/>
      <c r="H19" s="617">
        <v>15227.383100320001</v>
      </c>
      <c r="I19" s="617"/>
      <c r="J19" s="617"/>
      <c r="K19" s="617">
        <v>9483.0096357399998</v>
      </c>
      <c r="L19" s="617"/>
      <c r="M19" s="617">
        <v>-5744.3734645800005</v>
      </c>
      <c r="N19" s="617"/>
      <c r="O19" s="617">
        <v>62.276029789653848</v>
      </c>
      <c r="P19" s="617"/>
      <c r="Q19" s="91"/>
    </row>
    <row r="20" spans="1:17" ht="14.25" customHeight="1">
      <c r="A20" s="91"/>
      <c r="B20" s="103" t="s">
        <v>129</v>
      </c>
      <c r="C20" s="616" t="s">
        <v>52</v>
      </c>
      <c r="D20" s="616"/>
      <c r="E20" s="616"/>
      <c r="F20" s="616"/>
      <c r="G20" s="616"/>
      <c r="H20" s="617">
        <v>4.3517000000000001</v>
      </c>
      <c r="I20" s="617"/>
      <c r="J20" s="617"/>
      <c r="K20" s="617">
        <v>2.6039999999999996</v>
      </c>
      <c r="L20" s="617"/>
      <c r="M20" s="617">
        <v>-1.7477000000000005</v>
      </c>
      <c r="N20" s="617"/>
      <c r="O20" s="617">
        <v>59.83868373279406</v>
      </c>
      <c r="P20" s="617"/>
      <c r="Q20" s="91"/>
    </row>
    <row r="21" spans="1:17" ht="14.25" customHeight="1">
      <c r="A21" s="91"/>
      <c r="B21" s="103" t="s">
        <v>130</v>
      </c>
      <c r="C21" s="616" t="s">
        <v>54</v>
      </c>
      <c r="D21" s="616"/>
      <c r="E21" s="616"/>
      <c r="F21" s="616"/>
      <c r="G21" s="616"/>
      <c r="H21" s="617">
        <v>173.53099999999998</v>
      </c>
      <c r="I21" s="617"/>
      <c r="J21" s="617"/>
      <c r="K21" s="617">
        <v>85.717000000000013</v>
      </c>
      <c r="L21" s="617"/>
      <c r="M21" s="617">
        <v>-87.813999999999979</v>
      </c>
      <c r="N21" s="617"/>
      <c r="O21" s="617">
        <v>49.395785191118605</v>
      </c>
      <c r="P21" s="617"/>
      <c r="Q21" s="91"/>
    </row>
    <row r="22" spans="1:17" ht="14.25" customHeight="1">
      <c r="A22" s="91"/>
      <c r="B22" s="103" t="s">
        <v>131</v>
      </c>
      <c r="C22" s="616" t="s">
        <v>56</v>
      </c>
      <c r="D22" s="616"/>
      <c r="E22" s="616"/>
      <c r="F22" s="616"/>
      <c r="G22" s="616"/>
      <c r="H22" s="617">
        <v>83.73</v>
      </c>
      <c r="I22" s="617"/>
      <c r="J22" s="617"/>
      <c r="K22" s="617">
        <v>5</v>
      </c>
      <c r="L22" s="617"/>
      <c r="M22" s="617">
        <v>-78.73</v>
      </c>
      <c r="N22" s="617"/>
      <c r="O22" s="617">
        <v>5.9715753015645525</v>
      </c>
      <c r="P22" s="617"/>
      <c r="Q22" s="91"/>
    </row>
    <row r="23" spans="1:17" ht="14.25" customHeight="1" thickBot="1">
      <c r="A23" s="91"/>
      <c r="B23" s="103" t="s">
        <v>132</v>
      </c>
      <c r="C23" s="616" t="s">
        <v>58</v>
      </c>
      <c r="D23" s="616"/>
      <c r="E23" s="616"/>
      <c r="F23" s="616"/>
      <c r="G23" s="616"/>
      <c r="H23" s="617">
        <v>1588.1788736600001</v>
      </c>
      <c r="I23" s="617"/>
      <c r="J23" s="617"/>
      <c r="K23" s="617">
        <v>2651.9615439999998</v>
      </c>
      <c r="L23" s="617"/>
      <c r="M23" s="617">
        <v>1063.7826703399999</v>
      </c>
      <c r="N23" s="617"/>
      <c r="O23" s="617">
        <v>166.98128831599962</v>
      </c>
      <c r="P23" s="617"/>
      <c r="Q23" s="91"/>
    </row>
    <row r="24" spans="1:17" ht="14.25" customHeight="1" thickBot="1">
      <c r="A24" s="91"/>
      <c r="B24" s="104" t="s">
        <v>133</v>
      </c>
      <c r="C24" s="630" t="s">
        <v>158</v>
      </c>
      <c r="D24" s="630"/>
      <c r="E24" s="630"/>
      <c r="F24" s="630"/>
      <c r="G24" s="630"/>
      <c r="H24" s="631">
        <v>152018.50647011001</v>
      </c>
      <c r="I24" s="631"/>
      <c r="J24" s="631"/>
      <c r="K24" s="631">
        <v>75397.766180670005</v>
      </c>
      <c r="L24" s="631"/>
      <c r="M24" s="631">
        <v>-76620.74028944</v>
      </c>
      <c r="N24" s="631"/>
      <c r="O24" s="631">
        <v>49.59775485986291</v>
      </c>
      <c r="P24" s="631"/>
      <c r="Q24" s="91"/>
    </row>
    <row r="25" spans="1:17" ht="14.25" customHeight="1" thickBot="1">
      <c r="A25" s="91"/>
      <c r="B25" s="105" t="s">
        <v>134</v>
      </c>
      <c r="C25" s="621" t="s">
        <v>61</v>
      </c>
      <c r="D25" s="621"/>
      <c r="E25" s="621"/>
      <c r="F25" s="621"/>
      <c r="G25" s="621"/>
      <c r="H25" s="629">
        <v>0.95</v>
      </c>
      <c r="I25" s="629"/>
      <c r="J25" s="629"/>
      <c r="K25" s="629">
        <v>0</v>
      </c>
      <c r="L25" s="629"/>
      <c r="M25" s="629">
        <v>-0.95</v>
      </c>
      <c r="N25" s="629"/>
      <c r="O25" s="629">
        <v>0</v>
      </c>
      <c r="P25" s="629"/>
      <c r="Q25" s="91"/>
    </row>
    <row r="26" spans="1:17" ht="14.25" customHeight="1" thickBot="1">
      <c r="A26" s="91"/>
      <c r="B26" s="104" t="s">
        <v>135</v>
      </c>
      <c r="C26" s="630" t="s">
        <v>63</v>
      </c>
      <c r="D26" s="630"/>
      <c r="E26" s="630"/>
      <c r="F26" s="630"/>
      <c r="G26" s="630"/>
      <c r="H26" s="631">
        <v>43718.151245959998</v>
      </c>
      <c r="I26" s="631"/>
      <c r="J26" s="631"/>
      <c r="K26" s="631">
        <v>39846.403900000005</v>
      </c>
      <c r="L26" s="631"/>
      <c r="M26" s="631">
        <v>-3871.747345959996</v>
      </c>
      <c r="N26" s="631"/>
      <c r="O26" s="631">
        <v>91.143844751857415</v>
      </c>
      <c r="P26" s="631"/>
      <c r="Q26" s="91"/>
    </row>
    <row r="27" spans="1:17" ht="14.25" customHeight="1">
      <c r="A27" s="91"/>
      <c r="B27" s="106" t="s">
        <v>175</v>
      </c>
      <c r="C27" s="628" t="s">
        <v>160</v>
      </c>
      <c r="D27" s="628"/>
      <c r="E27" s="628"/>
      <c r="F27" s="628"/>
      <c r="G27" s="628"/>
      <c r="H27" s="627">
        <v>51722.761483130002</v>
      </c>
      <c r="I27" s="627"/>
      <c r="J27" s="627"/>
      <c r="K27" s="627">
        <v>1377.8319868000001</v>
      </c>
      <c r="L27" s="627"/>
      <c r="M27" s="627">
        <v>-50344.929496329998</v>
      </c>
      <c r="N27" s="627"/>
      <c r="O27" s="627">
        <v>2.6638793971768049</v>
      </c>
      <c r="P27" s="627"/>
      <c r="Q27" s="91"/>
    </row>
    <row r="28" spans="1:17" ht="14.25" customHeight="1">
      <c r="A28" s="91"/>
      <c r="B28" s="103" t="s">
        <v>136</v>
      </c>
      <c r="C28" s="616" t="s">
        <v>65</v>
      </c>
      <c r="D28" s="616"/>
      <c r="E28" s="616"/>
      <c r="F28" s="616"/>
      <c r="G28" s="616"/>
      <c r="H28" s="617">
        <v>55.265399100000003</v>
      </c>
      <c r="I28" s="617"/>
      <c r="J28" s="617"/>
      <c r="K28" s="617">
        <v>0</v>
      </c>
      <c r="L28" s="617"/>
      <c r="M28" s="617">
        <v>-55.265399100000003</v>
      </c>
      <c r="N28" s="617"/>
      <c r="O28" s="617">
        <v>0</v>
      </c>
      <c r="P28" s="617"/>
      <c r="Q28" s="91"/>
    </row>
    <row r="29" spans="1:17" ht="14.25" customHeight="1">
      <c r="A29" s="91"/>
      <c r="B29" s="103" t="s">
        <v>137</v>
      </c>
      <c r="C29" s="616" t="s">
        <v>67</v>
      </c>
      <c r="D29" s="616"/>
      <c r="E29" s="616"/>
      <c r="F29" s="616"/>
      <c r="G29" s="616"/>
      <c r="H29" s="617">
        <v>2250.3986959099998</v>
      </c>
      <c r="I29" s="617"/>
      <c r="J29" s="617"/>
      <c r="K29" s="617">
        <v>2306.64991728</v>
      </c>
      <c r="L29" s="617"/>
      <c r="M29" s="617">
        <v>56.251221369999982</v>
      </c>
      <c r="N29" s="617"/>
      <c r="O29" s="617">
        <v>102.49961135652248</v>
      </c>
      <c r="P29" s="617"/>
      <c r="Q29" s="91"/>
    </row>
    <row r="30" spans="1:17" ht="14.25" customHeight="1">
      <c r="A30" s="91"/>
      <c r="B30" s="103" t="s">
        <v>138</v>
      </c>
      <c r="C30" s="616" t="s">
        <v>69</v>
      </c>
      <c r="D30" s="616"/>
      <c r="E30" s="616"/>
      <c r="F30" s="616"/>
      <c r="G30" s="616"/>
      <c r="H30" s="617">
        <v>33.541864000000004</v>
      </c>
      <c r="I30" s="617"/>
      <c r="J30" s="617"/>
      <c r="K30" s="617">
        <v>0</v>
      </c>
      <c r="L30" s="617"/>
      <c r="M30" s="617">
        <v>-33.541864000000004</v>
      </c>
      <c r="N30" s="617"/>
      <c r="O30" s="617">
        <v>0</v>
      </c>
      <c r="P30" s="617"/>
      <c r="Q30" s="91"/>
    </row>
    <row r="31" spans="1:17" ht="14.25" customHeight="1">
      <c r="A31" s="91"/>
      <c r="B31" s="103" t="s">
        <v>139</v>
      </c>
      <c r="C31" s="616" t="s">
        <v>71</v>
      </c>
      <c r="D31" s="616"/>
      <c r="E31" s="616"/>
      <c r="F31" s="616"/>
      <c r="G31" s="616"/>
      <c r="H31" s="617">
        <v>23135.923468030003</v>
      </c>
      <c r="I31" s="617"/>
      <c r="J31" s="617"/>
      <c r="K31" s="617">
        <v>13185.034198809999</v>
      </c>
      <c r="L31" s="617"/>
      <c r="M31" s="617">
        <v>-9950.8892692200025</v>
      </c>
      <c r="N31" s="617"/>
      <c r="O31" s="617">
        <v>56.989444216607666</v>
      </c>
      <c r="P31" s="617"/>
      <c r="Q31" s="91"/>
    </row>
    <row r="32" spans="1:17" ht="14.25" customHeight="1">
      <c r="A32" s="91"/>
      <c r="B32" s="103" t="s">
        <v>140</v>
      </c>
      <c r="C32" s="616" t="s">
        <v>73</v>
      </c>
      <c r="D32" s="616"/>
      <c r="E32" s="616"/>
      <c r="F32" s="616"/>
      <c r="G32" s="616"/>
      <c r="H32" s="617">
        <v>15648.38548352</v>
      </c>
      <c r="I32" s="617"/>
      <c r="J32" s="617"/>
      <c r="K32" s="617">
        <v>5280.3768817099999</v>
      </c>
      <c r="L32" s="617"/>
      <c r="M32" s="617">
        <v>-10368.008601810001</v>
      </c>
      <c r="N32" s="617"/>
      <c r="O32" s="617">
        <v>33.743908515488677</v>
      </c>
      <c r="P32" s="617"/>
      <c r="Q32" s="91"/>
    </row>
    <row r="33" spans="1:17" ht="14.25" customHeight="1">
      <c r="A33" s="91"/>
      <c r="B33" s="103" t="s">
        <v>141</v>
      </c>
      <c r="C33" s="616" t="s">
        <v>75</v>
      </c>
      <c r="D33" s="616"/>
      <c r="E33" s="616"/>
      <c r="F33" s="616"/>
      <c r="G33" s="616"/>
      <c r="H33" s="617">
        <v>304.53255910000001</v>
      </c>
      <c r="I33" s="617"/>
      <c r="J33" s="617"/>
      <c r="K33" s="617">
        <v>228.04458006000002</v>
      </c>
      <c r="L33" s="617"/>
      <c r="M33" s="617">
        <v>-76.487979039999985</v>
      </c>
      <c r="N33" s="617"/>
      <c r="O33" s="617">
        <v>74.883480680670516</v>
      </c>
      <c r="P33" s="617"/>
      <c r="Q33" s="91"/>
    </row>
    <row r="34" spans="1:17" ht="14.25" customHeight="1">
      <c r="A34" s="91"/>
      <c r="B34" s="103" t="s">
        <v>142</v>
      </c>
      <c r="C34" s="616" t="s">
        <v>77</v>
      </c>
      <c r="D34" s="616"/>
      <c r="E34" s="616"/>
      <c r="F34" s="616"/>
      <c r="G34" s="616"/>
      <c r="H34" s="617">
        <v>3873.0034493800003</v>
      </c>
      <c r="I34" s="617"/>
      <c r="J34" s="617"/>
      <c r="K34" s="617">
        <v>2540.2051120000001</v>
      </c>
      <c r="L34" s="617"/>
      <c r="M34" s="617">
        <v>-1332.7983373800002</v>
      </c>
      <c r="N34" s="617"/>
      <c r="O34" s="617">
        <v>65.587473525401649</v>
      </c>
      <c r="P34" s="617"/>
      <c r="Q34" s="91"/>
    </row>
    <row r="35" spans="1:17" ht="14.25" customHeight="1">
      <c r="A35" s="91"/>
      <c r="B35" s="103" t="s">
        <v>143</v>
      </c>
      <c r="C35" s="616" t="s">
        <v>79</v>
      </c>
      <c r="D35" s="616"/>
      <c r="E35" s="616"/>
      <c r="F35" s="616"/>
      <c r="G35" s="616"/>
      <c r="H35" s="617">
        <v>8669.6158781600006</v>
      </c>
      <c r="I35" s="617"/>
      <c r="J35" s="617"/>
      <c r="K35" s="617">
        <v>8823.7842276600004</v>
      </c>
      <c r="L35" s="617"/>
      <c r="M35" s="617">
        <v>154.16834950000049</v>
      </c>
      <c r="N35" s="617"/>
      <c r="O35" s="617">
        <v>101.77826044044664</v>
      </c>
      <c r="P35" s="617"/>
      <c r="Q35" s="91"/>
    </row>
    <row r="36" spans="1:17" ht="14.25" customHeight="1">
      <c r="A36" s="91"/>
      <c r="B36" s="103" t="s">
        <v>144</v>
      </c>
      <c r="C36" s="616" t="s">
        <v>81</v>
      </c>
      <c r="D36" s="616"/>
      <c r="E36" s="616"/>
      <c r="F36" s="616"/>
      <c r="G36" s="616"/>
      <c r="H36" s="617">
        <v>967.34622932000002</v>
      </c>
      <c r="I36" s="617"/>
      <c r="J36" s="617"/>
      <c r="K36" s="617">
        <v>1594.87177135</v>
      </c>
      <c r="L36" s="617"/>
      <c r="M36" s="617">
        <v>627.52554203000011</v>
      </c>
      <c r="N36" s="617"/>
      <c r="O36" s="617">
        <v>164.87083145722517</v>
      </c>
      <c r="P36" s="617"/>
      <c r="Q36" s="91"/>
    </row>
    <row r="37" spans="1:17" ht="14.25" customHeight="1">
      <c r="A37" s="91"/>
      <c r="B37" s="103" t="s">
        <v>145</v>
      </c>
      <c r="C37" s="616" t="s">
        <v>83</v>
      </c>
      <c r="D37" s="616"/>
      <c r="E37" s="616"/>
      <c r="F37" s="616"/>
      <c r="G37" s="616"/>
      <c r="H37" s="617">
        <v>44.502748000000004</v>
      </c>
      <c r="I37" s="617"/>
      <c r="J37" s="617"/>
      <c r="K37" s="617">
        <v>0</v>
      </c>
      <c r="L37" s="617"/>
      <c r="M37" s="617">
        <v>-44.502748000000004</v>
      </c>
      <c r="N37" s="617"/>
      <c r="O37" s="617">
        <v>0</v>
      </c>
      <c r="P37" s="617"/>
      <c r="Q37" s="91"/>
    </row>
    <row r="38" spans="1:17" ht="14.25" customHeight="1">
      <c r="A38" s="91"/>
      <c r="B38" s="103" t="s">
        <v>146</v>
      </c>
      <c r="C38" s="616" t="s">
        <v>85</v>
      </c>
      <c r="D38" s="616"/>
      <c r="E38" s="616"/>
      <c r="F38" s="616"/>
      <c r="G38" s="616"/>
      <c r="H38" s="617">
        <v>253.70051236999998</v>
      </c>
      <c r="I38" s="617"/>
      <c r="J38" s="617"/>
      <c r="K38" s="617">
        <v>0</v>
      </c>
      <c r="L38" s="617"/>
      <c r="M38" s="617">
        <v>-253.70051236999998</v>
      </c>
      <c r="N38" s="617"/>
      <c r="O38" s="617">
        <v>0</v>
      </c>
      <c r="P38" s="617"/>
      <c r="Q38" s="91"/>
    </row>
    <row r="39" spans="1:17" ht="14.25" customHeight="1" thickBot="1">
      <c r="A39" s="91"/>
      <c r="B39" s="103" t="s">
        <v>147</v>
      </c>
      <c r="C39" s="616" t="s">
        <v>87</v>
      </c>
      <c r="D39" s="616"/>
      <c r="E39" s="616"/>
      <c r="F39" s="616"/>
      <c r="G39" s="616"/>
      <c r="H39" s="617">
        <v>548.91893600000003</v>
      </c>
      <c r="I39" s="617"/>
      <c r="J39" s="617"/>
      <c r="K39" s="617">
        <v>214.563605</v>
      </c>
      <c r="L39" s="617"/>
      <c r="M39" s="617">
        <v>-334.35533099999998</v>
      </c>
      <c r="N39" s="617"/>
      <c r="O39" s="617">
        <v>39.088395558647655</v>
      </c>
      <c r="P39" s="617"/>
      <c r="Q39" s="91"/>
    </row>
    <row r="40" spans="1:17" ht="14.25" customHeight="1" thickBot="1">
      <c r="A40" s="91"/>
      <c r="B40" s="107" t="s">
        <v>148</v>
      </c>
      <c r="C40" s="622" t="s">
        <v>161</v>
      </c>
      <c r="D40" s="622"/>
      <c r="E40" s="622"/>
      <c r="F40" s="622"/>
      <c r="G40" s="622"/>
      <c r="H40" s="623">
        <v>151226.99795197998</v>
      </c>
      <c r="I40" s="623"/>
      <c r="J40" s="623"/>
      <c r="K40" s="623">
        <v>75397.766180670005</v>
      </c>
      <c r="L40" s="623"/>
      <c r="M40" s="623">
        <v>-75829.231771309991</v>
      </c>
      <c r="N40" s="623"/>
      <c r="O40" s="623">
        <v>49.857345051980403</v>
      </c>
      <c r="P40" s="623"/>
      <c r="Q40" s="91"/>
    </row>
    <row r="41" spans="1:17" ht="14.25" customHeight="1" thickBot="1">
      <c r="A41" s="91"/>
      <c r="B41" s="108"/>
      <c r="C41" s="621" t="s">
        <v>89</v>
      </c>
      <c r="D41" s="621"/>
      <c r="E41" s="621"/>
      <c r="F41" s="621"/>
      <c r="G41" s="621"/>
      <c r="H41" s="109"/>
      <c r="I41" s="110"/>
      <c r="J41" s="111"/>
      <c r="K41" s="109"/>
      <c r="L41" s="111"/>
      <c r="M41" s="109"/>
      <c r="N41" s="111"/>
      <c r="O41" s="109"/>
      <c r="P41" s="111"/>
      <c r="Q41" s="91"/>
    </row>
    <row r="42" spans="1:17" ht="14.25" customHeight="1">
      <c r="A42" s="91"/>
      <c r="B42" s="103" t="s">
        <v>176</v>
      </c>
      <c r="C42" s="616" t="s">
        <v>90</v>
      </c>
      <c r="D42" s="616"/>
      <c r="E42" s="616"/>
      <c r="F42" s="616"/>
      <c r="G42" s="616"/>
      <c r="H42" s="617">
        <v>26223.407414959998</v>
      </c>
      <c r="I42" s="617"/>
      <c r="J42" s="617"/>
      <c r="K42" s="617">
        <v>23920.060899999997</v>
      </c>
      <c r="L42" s="617"/>
      <c r="M42" s="617">
        <v>-2303.3465149600011</v>
      </c>
      <c r="N42" s="617"/>
      <c r="O42" s="617">
        <v>91.216448425211198</v>
      </c>
      <c r="P42" s="617"/>
      <c r="Q42" s="91"/>
    </row>
    <row r="43" spans="1:17" ht="14.25" customHeight="1">
      <c r="A43" s="91"/>
      <c r="B43" s="103" t="s">
        <v>177</v>
      </c>
      <c r="C43" s="616" t="s">
        <v>91</v>
      </c>
      <c r="D43" s="616"/>
      <c r="E43" s="616"/>
      <c r="F43" s="616"/>
      <c r="G43" s="616"/>
      <c r="H43" s="617">
        <v>7026.6758310000005</v>
      </c>
      <c r="I43" s="617"/>
      <c r="J43" s="617"/>
      <c r="K43" s="617">
        <v>5076.1289999999999</v>
      </c>
      <c r="L43" s="617"/>
      <c r="M43" s="617">
        <v>-1950.5468310000003</v>
      </c>
      <c r="N43" s="617"/>
      <c r="O43" s="617">
        <v>72.240830829356639</v>
      </c>
      <c r="P43" s="617"/>
      <c r="Q43" s="91"/>
    </row>
    <row r="44" spans="1:17" ht="14.25" customHeight="1">
      <c r="A44" s="91"/>
      <c r="B44" s="103" t="s">
        <v>178</v>
      </c>
      <c r="C44" s="616" t="s">
        <v>92</v>
      </c>
      <c r="D44" s="616"/>
      <c r="E44" s="616"/>
      <c r="F44" s="616"/>
      <c r="G44" s="616"/>
      <c r="H44" s="617">
        <v>8427.1119999999992</v>
      </c>
      <c r="I44" s="617"/>
      <c r="J44" s="617"/>
      <c r="K44" s="617">
        <v>10360.665000000001</v>
      </c>
      <c r="L44" s="617"/>
      <c r="M44" s="617">
        <v>1933.5530000000006</v>
      </c>
      <c r="N44" s="617"/>
      <c r="O44" s="617">
        <v>122.94443220880416</v>
      </c>
      <c r="P44" s="617"/>
      <c r="Q44" s="91"/>
    </row>
    <row r="45" spans="1:17" ht="16.5" customHeight="1" thickBot="1">
      <c r="A45" s="91"/>
      <c r="B45" s="112" t="s">
        <v>179</v>
      </c>
      <c r="C45" s="619" t="s">
        <v>149</v>
      </c>
      <c r="D45" s="619"/>
      <c r="E45" s="619"/>
      <c r="F45" s="619"/>
      <c r="G45" s="619"/>
      <c r="H45" s="620">
        <v>381.85500000000002</v>
      </c>
      <c r="I45" s="620"/>
      <c r="J45" s="620"/>
      <c r="K45" s="620">
        <v>487.94599999999997</v>
      </c>
      <c r="L45" s="620"/>
      <c r="M45" s="620">
        <v>106.09099999999998</v>
      </c>
      <c r="N45" s="620"/>
      <c r="O45" s="620">
        <v>127.7830590145474</v>
      </c>
      <c r="P45" s="620"/>
      <c r="Q45" s="91"/>
    </row>
    <row r="46" spans="1:17" ht="15.75" customHeight="1">
      <c r="B46" s="91"/>
      <c r="C46" s="625" t="s">
        <v>166</v>
      </c>
      <c r="D46" s="625"/>
      <c r="E46" s="625"/>
      <c r="F46" s="625"/>
      <c r="G46" s="625"/>
      <c r="H46" s="91"/>
      <c r="I46" s="91"/>
      <c r="J46" s="91"/>
      <c r="K46" s="91"/>
      <c r="L46" s="91"/>
      <c r="M46" s="91"/>
      <c r="N46" s="91"/>
      <c r="O46" s="91"/>
      <c r="P46" s="91"/>
    </row>
    <row r="47" spans="1:17" ht="3.75" customHeight="1"/>
    <row r="48" spans="1:17" ht="213.75" customHeight="1"/>
    <row r="49" spans="2:15" ht="13.5" customHeight="1"/>
    <row r="50" spans="2:15" ht="23.25" customHeight="1">
      <c r="B50" s="624"/>
      <c r="C50" s="624"/>
      <c r="D50" s="624"/>
      <c r="E50" s="624"/>
      <c r="F50" s="624"/>
      <c r="G50" s="624"/>
      <c r="H50" s="624"/>
      <c r="I50" s="624"/>
      <c r="L50" s="626"/>
      <c r="M50" s="626"/>
      <c r="N50" s="618"/>
      <c r="O50" s="618"/>
    </row>
    <row r="51" spans="2:15" ht="11.25" customHeight="1">
      <c r="B51" s="624"/>
      <c r="C51" s="624"/>
      <c r="D51" s="624"/>
    </row>
    <row r="52" spans="2:15" ht="10.5" customHeight="1"/>
  </sheetData>
  <mergeCells count="184">
    <mergeCell ref="M9:N9"/>
    <mergeCell ref="O9:P9"/>
    <mergeCell ref="C12:G12"/>
    <mergeCell ref="H12:J12"/>
    <mergeCell ref="K12:L12"/>
    <mergeCell ref="M12:N12"/>
    <mergeCell ref="B5:P5"/>
    <mergeCell ref="B9:B10"/>
    <mergeCell ref="C10:G10"/>
    <mergeCell ref="K10:L10"/>
    <mergeCell ref="M10:N10"/>
    <mergeCell ref="O10:P10"/>
    <mergeCell ref="C13:G13"/>
    <mergeCell ref="H13:J13"/>
    <mergeCell ref="K13:L13"/>
    <mergeCell ref="M13:N13"/>
    <mergeCell ref="O12:P12"/>
    <mergeCell ref="C11:G11"/>
    <mergeCell ref="H11:J11"/>
    <mergeCell ref="K11:L11"/>
    <mergeCell ref="M11:N11"/>
    <mergeCell ref="O11:P11"/>
    <mergeCell ref="C15:G15"/>
    <mergeCell ref="H15:J15"/>
    <mergeCell ref="K15:L15"/>
    <mergeCell ref="M15:N15"/>
    <mergeCell ref="O13:P13"/>
    <mergeCell ref="C14:G14"/>
    <mergeCell ref="H14:J14"/>
    <mergeCell ref="K14:L14"/>
    <mergeCell ref="M14:N14"/>
    <mergeCell ref="O14:P14"/>
    <mergeCell ref="C17:G17"/>
    <mergeCell ref="H17:J17"/>
    <mergeCell ref="K17:L17"/>
    <mergeCell ref="M17:N17"/>
    <mergeCell ref="O15:P15"/>
    <mergeCell ref="C16:G16"/>
    <mergeCell ref="H16:J16"/>
    <mergeCell ref="K16:L16"/>
    <mergeCell ref="M16:N16"/>
    <mergeCell ref="O16:P16"/>
    <mergeCell ref="C19:G19"/>
    <mergeCell ref="H19:J19"/>
    <mergeCell ref="K19:L19"/>
    <mergeCell ref="M19:N19"/>
    <mergeCell ref="O17:P17"/>
    <mergeCell ref="C18:G18"/>
    <mergeCell ref="H18:J18"/>
    <mergeCell ref="K18:L18"/>
    <mergeCell ref="M18:N18"/>
    <mergeCell ref="O18:P18"/>
    <mergeCell ref="C21:G21"/>
    <mergeCell ref="H21:J21"/>
    <mergeCell ref="K21:L21"/>
    <mergeCell ref="M21:N21"/>
    <mergeCell ref="O19:P19"/>
    <mergeCell ref="C20:G20"/>
    <mergeCell ref="H20:J20"/>
    <mergeCell ref="K20:L20"/>
    <mergeCell ref="M20:N20"/>
    <mergeCell ref="O20:P20"/>
    <mergeCell ref="C23:G23"/>
    <mergeCell ref="H23:J23"/>
    <mergeCell ref="K23:L23"/>
    <mergeCell ref="M23:N23"/>
    <mergeCell ref="O21:P21"/>
    <mergeCell ref="C22:G22"/>
    <mergeCell ref="H22:J22"/>
    <mergeCell ref="K22:L22"/>
    <mergeCell ref="M22:N22"/>
    <mergeCell ref="O22:P22"/>
    <mergeCell ref="C25:G25"/>
    <mergeCell ref="H25:J25"/>
    <mergeCell ref="K25:L25"/>
    <mergeCell ref="M25:N25"/>
    <mergeCell ref="O23:P23"/>
    <mergeCell ref="C24:G24"/>
    <mergeCell ref="H24:J24"/>
    <mergeCell ref="K24:L24"/>
    <mergeCell ref="M24:N24"/>
    <mergeCell ref="O24:P24"/>
    <mergeCell ref="C27:G27"/>
    <mergeCell ref="H27:J27"/>
    <mergeCell ref="K27:L27"/>
    <mergeCell ref="M27:N27"/>
    <mergeCell ref="O25:P25"/>
    <mergeCell ref="C26:G26"/>
    <mergeCell ref="H26:J26"/>
    <mergeCell ref="K26:L26"/>
    <mergeCell ref="M26:N26"/>
    <mergeCell ref="O26:P26"/>
    <mergeCell ref="C29:G29"/>
    <mergeCell ref="H29:J29"/>
    <mergeCell ref="K29:L29"/>
    <mergeCell ref="M29:N29"/>
    <mergeCell ref="O27:P27"/>
    <mergeCell ref="C28:G28"/>
    <mergeCell ref="H28:J28"/>
    <mergeCell ref="K28:L28"/>
    <mergeCell ref="M28:N28"/>
    <mergeCell ref="O28:P28"/>
    <mergeCell ref="C31:G31"/>
    <mergeCell ref="H31:J31"/>
    <mergeCell ref="K31:L31"/>
    <mergeCell ref="M31:N31"/>
    <mergeCell ref="O29:P29"/>
    <mergeCell ref="C30:G30"/>
    <mergeCell ref="H30:J30"/>
    <mergeCell ref="K30:L30"/>
    <mergeCell ref="M30:N30"/>
    <mergeCell ref="O30:P30"/>
    <mergeCell ref="C33:G33"/>
    <mergeCell ref="H33:J33"/>
    <mergeCell ref="K33:L33"/>
    <mergeCell ref="M33:N33"/>
    <mergeCell ref="O31:P31"/>
    <mergeCell ref="C32:G32"/>
    <mergeCell ref="H32:J32"/>
    <mergeCell ref="K32:L32"/>
    <mergeCell ref="M32:N32"/>
    <mergeCell ref="O32:P32"/>
    <mergeCell ref="C35:G35"/>
    <mergeCell ref="H35:J35"/>
    <mergeCell ref="K35:L35"/>
    <mergeCell ref="M35:N35"/>
    <mergeCell ref="O33:P33"/>
    <mergeCell ref="C34:G34"/>
    <mergeCell ref="H34:J34"/>
    <mergeCell ref="K34:L34"/>
    <mergeCell ref="M34:N34"/>
    <mergeCell ref="O34:P34"/>
    <mergeCell ref="C37:G37"/>
    <mergeCell ref="H37:J37"/>
    <mergeCell ref="K37:L37"/>
    <mergeCell ref="M37:N37"/>
    <mergeCell ref="O35:P35"/>
    <mergeCell ref="C36:G36"/>
    <mergeCell ref="H36:J36"/>
    <mergeCell ref="K36:L36"/>
    <mergeCell ref="M36:N36"/>
    <mergeCell ref="O36:P36"/>
    <mergeCell ref="B51:D51"/>
    <mergeCell ref="C46:G46"/>
    <mergeCell ref="B50:I50"/>
    <mergeCell ref="L50:M50"/>
    <mergeCell ref="O37:P37"/>
    <mergeCell ref="C38:G38"/>
    <mergeCell ref="H38:J38"/>
    <mergeCell ref="K38:L38"/>
    <mergeCell ref="M38:N38"/>
    <mergeCell ref="O38:P38"/>
    <mergeCell ref="O39:P39"/>
    <mergeCell ref="C40:G40"/>
    <mergeCell ref="H40:J40"/>
    <mergeCell ref="K40:L40"/>
    <mergeCell ref="M40:N40"/>
    <mergeCell ref="O40:P40"/>
    <mergeCell ref="C39:G39"/>
    <mergeCell ref="H39:J39"/>
    <mergeCell ref="K39:L39"/>
    <mergeCell ref="M39:N39"/>
    <mergeCell ref="C41:G41"/>
    <mergeCell ref="C42:G42"/>
    <mergeCell ref="H42:J42"/>
    <mergeCell ref="K42:L42"/>
    <mergeCell ref="N50:O50"/>
    <mergeCell ref="O44:P44"/>
    <mergeCell ref="C45:G45"/>
    <mergeCell ref="H45:J45"/>
    <mergeCell ref="K45:L45"/>
    <mergeCell ref="M45:N45"/>
    <mergeCell ref="M44:N44"/>
    <mergeCell ref="O45:P45"/>
    <mergeCell ref="H44:J44"/>
    <mergeCell ref="C43:G43"/>
    <mergeCell ref="K44:L44"/>
    <mergeCell ref="C44:G44"/>
    <mergeCell ref="H43:J43"/>
    <mergeCell ref="O42:P42"/>
    <mergeCell ref="M43:N43"/>
    <mergeCell ref="O43:P43"/>
    <mergeCell ref="M42:N42"/>
    <mergeCell ref="K43:L43"/>
  </mergeCells>
  <phoneticPr fontId="13" type="noConversion"/>
  <printOptions horizontalCentered="1"/>
  <pageMargins left="0.39370078740157483" right="0" top="0.19685039370078741" bottom="0" header="0" footer="0"/>
  <pageSetup paperSize="9" scale="95" fitToWidth="0" fitToHeight="0" orientation="portrait" r:id="rId1"/>
  <headerFooter alignWithMargins="0"/>
  <ignoredErrors>
    <ignoredError sqref="H10:K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Př-2 MV_tab</vt:lpstr>
      <vt:lpstr>Př-2 quasiMV</vt:lpstr>
      <vt:lpstr>Př3-1 MD</vt:lpstr>
      <vt:lpstr>Př3-2MMR</vt:lpstr>
      <vt:lpstr>Př3-3 SFDI</vt:lpstr>
      <vt:lpstr>Pč4 TAB1</vt:lpstr>
      <vt:lpstr>Př4 TAB2</vt:lpstr>
      <vt:lpstr>Př4 TAB3</vt:lpstr>
      <vt:lpstr>'Př-2 MV_tab'!Názvy_tisku</vt:lpstr>
      <vt:lpstr>'Př-2 quasiMV'!Názvy_tisku</vt:lpstr>
      <vt:lpstr>'Pč4 TAB1'!Oblast_tisku</vt:lpstr>
      <vt:lpstr>'Př-2 MV_tab'!Oblast_tisku</vt:lpstr>
      <vt:lpstr>'Př3-1 MD'!Oblast_tisku</vt:lpstr>
      <vt:lpstr>'Př3-2MMR'!Oblast_tisku</vt:lpstr>
      <vt:lpstr>'Př3-3 SFDI'!Oblast_tisku</vt:lpstr>
      <vt:lpstr>'Př4 TAB3'!Oblast_tisku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č. 10 k vyhlášce č. 165/2008 Sb.</dc:title>
  <dc:creator>MF</dc:creator>
  <cp:lastModifiedBy>13104</cp:lastModifiedBy>
  <cp:lastPrinted>2012-11-15T12:04:06Z</cp:lastPrinted>
  <dcterms:created xsi:type="dcterms:W3CDTF">2009-08-17T13:13:24Z</dcterms:created>
  <dcterms:modified xsi:type="dcterms:W3CDTF">2012-11-16T12:48:19Z</dcterms:modified>
</cp:coreProperties>
</file>